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883b9ee327545e1" /></Relationships>
</file>

<file path=xl/workbook.xml><?xml version="1.0" encoding="utf-8"?>
<x:workbook xmlns:x="http://schemas.openxmlformats.org/spreadsheetml/2006/main">
  <x:sheets>
    <x:sheet xmlns:r="http://schemas.openxmlformats.org/officeDocument/2006/relationships" name="Summary" sheetId="1" r:id="Rd4d71891115844c6"/>
    <x:sheet xmlns:r="http://schemas.openxmlformats.org/officeDocument/2006/relationships" name="Purchases" sheetId="2" r:id="Re04fc19f568c4f99"/>
    <x:sheet xmlns:r="http://schemas.openxmlformats.org/officeDocument/2006/relationships" name="Monthly results" sheetId="3" r:id="R560edc15be1f4a09"/>
    <x:sheet xmlns:r="http://schemas.openxmlformats.org/officeDocument/2006/relationships" name="Holdings" sheetId="4" r:id="R61a69d0696094464"/>
    <x:sheet xmlns:r="http://schemas.openxmlformats.org/officeDocument/2006/relationships" name="Sensitivity" sheetId="5" r:id="R4a788f2f4d6d4c0d"/>
    <x:sheet xmlns:r="http://schemas.openxmlformats.org/officeDocument/2006/relationships" name="Method" sheetId="6" r:id="R0bcf04ec7baa4259"/>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mm/dd/yy"/>
    <x:numFmt numFmtId="201" formatCode="0.0%"/>
    <x:numFmt numFmtId="202" formatCode="$0.0000"/>
    <x:numFmt numFmtId="203" formatCode="$#,##0;($#,##0);$0"/>
    <x:numFmt numFmtId="204" formatCode="0.0000"/>
  </x:numFmts>
  <x:fonts count="10">
    <x:font>
      <x:sz val="11"/>
      <x:name val="Carlito"/>
    </x:font>
    <x:font>
      <x:sz val="10"/>
      <x:color rgb="FF202B35"/>
      <x:name val="Arial"/>
    </x:font>
    <x:font>
      <x:b/>
      <x:sz val="15"/>
      <x:color rgb="FF233950"/>
      <x:name val="Arial"/>
    </x:font>
    <x:font>
      <x:b/>
      <x:sz val="10"/>
      <x:color rgb="FFFFFFFF"/>
      <x:name val="Arial"/>
    </x:font>
    <x:font>
      <x:b/>
      <x:sz val="11"/>
      <x:color rgb="FF963824"/>
      <x:name val="Arial"/>
    </x:font>
    <x:font>
      <x:b/>
      <x:sz val="10"/>
      <x:color rgb="FF202B35"/>
      <x:name val="Arial"/>
    </x:font>
    <x:font>
      <x:b/>
      <x:sz val="10"/>
      <x:color rgb="FFA45821"/>
      <x:name val="Arial"/>
    </x:font>
    <x:font>
      <x:b/>
      <x:sz val="10"/>
      <x:color rgb="FF235A99"/>
      <x:name val="Arial"/>
    </x:font>
    <x:font>
      <x:sz val="10"/>
      <x:color rgb="FF235A99"/>
      <x:name val="Arial"/>
    </x:font>
    <x:font>
      <x:sz val="10"/>
      <x:color rgb="FF963824"/>
      <x:name val="Arial"/>
    </x:font>
  </x:fonts>
  <x:fills count="4">
    <x:fill>
      <x:patternFill patternType="none"/>
    </x:fill>
    <x:fill>
      <x:patternFill patternType="gray125"/>
    </x:fill>
    <x:fill>
      <x:patternFill patternType="solid">
        <x:fgColor rgb="FF233950"/>
      </x:patternFill>
    </x:fill>
    <x:fill>
      <x:patternFill patternType="solid">
        <x:fgColor rgb="FFFFF1CD"/>
      </x:patternFill>
    </x:fill>
  </x:fills>
  <x:borders count="2">
    <x:border>
      <x:left/>
      <x:right/>
      <x:top/>
      <x:bottom/>
      <x:diagonal/>
    </x:border>
    <x:border>
      <x:left/>
      <x:right/>
      <x:top/>
      <x:bottom style="thin">
        <x:color rgb="FFB9C6D0"/>
      </x:bottom>
      <x:diagonal/>
    </x:border>
  </x:borders>
  <x:cellStyleXfs count="1">
    <x:xf numFmtId="0" fontId="0" fillId="0" borderId="0"/>
  </x:cellStyleXfs>
  <x:cellXfs count="26">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1" fillId="2" borderId="0" xfId="0" applyNumberFormat="1" applyFont="1" applyFill="1" applyBorder="1" applyAlignment="1">
      <x:alignment vertical="center"/>
    </x:xf>
    <x:xf numFmtId="0" fontId="3" fillId="2" borderId="0" xfId="0" applyNumberFormat="1" applyFont="1" applyFill="1" applyBorder="1" applyAlignment="1">
      <x:alignment vertical="center"/>
    </x:xf>
    <x:xf numFmtId="0" fontId="3" fillId="2" borderId="0" xfId="0" applyNumberFormat="1" applyFont="1" applyFill="1" applyBorder="1" applyAlignment="1">
      <x:alignment horizontal="center" vertical="center"/>
    </x:xf>
    <x:xf numFmtId="200" fontId="1" fillId="0" borderId="0" xfId="0" applyNumberFormat="1" applyFont="1" applyFill="1" applyBorder="1" applyAlignment="1">
      <x:alignment vertical="center"/>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0" fontId="3" fillId="2" borderId="0" xfId="0" applyNumberFormat="1" applyFont="1" applyFill="1" applyBorder="1" applyAlignment="1">
      <x:alignment horizontal="center" vertical="center" wrapText="1"/>
    </x:xf>
    <x:xf numFmtId="0" fontId="4" fillId="0" borderId="0" xfId="0" applyNumberFormat="1" applyFont="1" applyFill="1" applyBorder="1" applyAlignment="1">
      <x:alignment vertical="center"/>
    </x:xf>
    <x:xf numFmtId="0" fontId="5" fillId="0" borderId="0" xfId="0" applyNumberFormat="1" applyFont="1" applyFill="1" applyBorder="1" applyAlignment="1">
      <x:alignment vertical="center"/>
    </x:xf>
    <x:xf numFmtId="203" fontId="5" fillId="0" borderId="0" xfId="0" applyNumberFormat="1" applyFont="1" applyFill="1" applyBorder="1" applyAlignment="1">
      <x:alignment vertical="center"/>
    </x:xf>
    <x:xf numFmtId="203" fontId="6" fillId="0" borderId="0" xfId="0" applyNumberFormat="1" applyFont="1" applyFill="1" applyBorder="1" applyAlignment="1">
      <x:alignment vertical="center"/>
    </x:xf>
    <x:xf numFmtId="203" fontId="7"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203" fontId="8" fillId="3" borderId="0" xfId="0" applyNumberFormat="1" applyFont="1" applyFill="1" applyBorder="1" applyAlignment="1">
      <x:alignment vertical="center"/>
    </x:xf>
    <x:xf numFmtId="0" fontId="9"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5" fillId="0" borderId="0" xfId="0" applyNumberFormat="1" applyFont="1" applyFill="1" applyBorder="1" applyAlignment="1">
      <x:alignment vertical="top"/>
    </x:xf>
    <x:xf numFmtId="0" fontId="1" fillId="0" borderId="0" xfId="0" applyNumberFormat="1" applyFont="1" applyFill="1" applyBorder="1" applyAlignment="1">
      <x:alignment vertical="top" wrapText="1"/>
    </x:xf>
  </x:cellXfs>
  <x:cellStyles count="1">
    <x:cellStyle name="Normal" xfId="0"/>
  </x:cellStyles>
  <x:dxfs count="1">
    <x:dxf>
      <x:font>
        <x:color rgb="FF8D4D1E"/>
      </x:font>
      <x:fill>
        <x:patternFill patternType="solid">
          <x:bgColor rgb="FFFFF0D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fa9a98be2004f9c" /><Relationship Type="http://schemas.openxmlformats.org/officeDocument/2006/relationships/theme" Target="/xl/theme/theme1.xml" Id="R83a3f92f471f4ec9" /><Relationship Type="http://schemas.openxmlformats.org/officeDocument/2006/relationships/sharedStrings" Target="/xl/sharedStrings.xml" Id="Rae87282130684a12" /><Relationship Type="http://schemas.openxmlformats.org/officeDocument/2006/relationships/worksheet" Target="/xl/worksheets/sheet1.xml" Id="Rd4d71891115844c6" /><Relationship Type="http://schemas.openxmlformats.org/officeDocument/2006/relationships/worksheet" Target="/xl/worksheets/sheet2.xml" Id="Re04fc19f568c4f99" /><Relationship Type="http://schemas.openxmlformats.org/officeDocument/2006/relationships/worksheet" Target="/xl/worksheets/sheet3.xml" Id="R560edc15be1f4a09" /><Relationship Type="http://schemas.openxmlformats.org/officeDocument/2006/relationships/worksheet" Target="/xl/worksheets/sheet4.xml" Id="R61a69d0696094464" /><Relationship Type="http://schemas.openxmlformats.org/officeDocument/2006/relationships/worksheet" Target="/xl/worksheets/sheet5.xml" Id="R4a788f2f4d6d4c0d" /><Relationship Type="http://schemas.openxmlformats.org/officeDocument/2006/relationships/worksheet" Target="/xl/worksheets/sheet6.xml" Id="R0bcf04ec7baa4259" /></Relationships>
</file>

<file path=xl/drawings/_rels/drawing1.xml.rels>&#65279;<?xml version="1.0" encoding="utf-8"?><Relationships xmlns="http://schemas.openxmlformats.org/package/2006/relationships"><Relationship Type="http://schemas.openxmlformats.org/officeDocument/2006/relationships/chart" Target="/xl/drawings/charts/chart1.xml" Id="R6a4dd06b07224822"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050">
                <a:latin typeface="Arial"/>
                <a:ea typeface="Arial"/>
                <a:cs typeface="Arial"/>
              </a:rPr>
              <a:t>Portfolio values under the $0 rule</a:t>
            </a:r>
          </a:p>
        </c:rich>
      </c:tx>
      <c:overlay val="0"/>
      <c:txPr>
        <a:bodyPr xmlns:a="http://schemas.openxmlformats.org/drawingml/2006/main" anchorCtr="1"/>
        <a:lstStyle xmlns:a="http://schemas.openxmlformats.org/drawingml/2006/main"/>
        <a:p xmlns:a="http://schemas.openxmlformats.org/drawingml/2006/main">
          <a:pPr>
            <a:defRPr sz="1050">
              <a:latin typeface="Arial"/>
              <a:ea typeface="Arial"/>
              <a:cs typeface="Arial"/>
            </a:defRPr>
          </a:pPr>
        </a:p>
      </c:txPr>
    </c:title>
    <c:plotArea>
      <c:lineChart>
        <c:grouping val="standard"/>
        <c:varyColors val="0"/>
        <c:ser>
          <c:idx val="0"/>
          <c:order val="0"/>
          <c:tx>
            <c:v>Leader mark</c:v>
          </c:tx>
          <c:spPr>
            <a:solidFill xmlns:a="http://schemas.openxmlformats.org/drawingml/2006/main">
              <a:srgbClr val="A45821"/>
            </a:solidFill>
          </c:spPr>
          <c:marker>
            <c:symbol val="none"/>
          </c:marker>
          <c:cat>
            <c:strRef>
              <c:f>'Monthly results'!$N$7:$N$352</c:f>
              <c:strCache>
                <c:ptCount val="0"/>
              </c:strCache>
            </c:strRef>
          </c:cat>
          <c:val>
            <c:numRef>
              <c:f>'Monthly results'!$H$7:$H$352</c:f>
              <c:numCache>
                <c:formatCode>$#,##0;($#,##0);$0</c:formatCode>
                <c:ptCount val="0"/>
              </c:numCache>
            </c:numRef>
          </c:val>
          <c:smooth val="0"/>
        </c:ser>
        <c:ser>
          <c:idx val="1"/>
          <c:order val="1"/>
          <c:tx>
            <c:v>SPY value</c:v>
          </c:tx>
          <c:spPr>
            <a:solidFill xmlns:a="http://schemas.openxmlformats.org/drawingml/2006/main">
              <a:srgbClr val="235A99"/>
            </a:solidFill>
          </c:spPr>
          <c:marker>
            <c:symbol val="none"/>
          </c:marker>
          <c:cat>
            <c:strRef>
              <c:f>'Monthly results'!$N$7:$N$352</c:f>
              <c:strCache>
                <c:ptCount val="0"/>
              </c:strCache>
            </c:strRef>
          </c:cat>
          <c:val>
            <c:numRef>
              <c:f>'Monthly results'!$I$7:$I$352</c:f>
              <c:numCache>
                <c:formatCode>$#,##0;($#,##0);$0</c:formatCode>
                <c:ptCount val="0"/>
              </c:numCache>
            </c:numRef>
          </c:val>
          <c:smooth val="0"/>
        </c:ser>
        <c:smooth val="0"/>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ickLblSkip val="48"/>
        <c:txPr>
          <a:bodyPr xmlns:a="http://schemas.openxmlformats.org/drawingml/2006/main" anchorCtr="1"/>
          <a:lstStyle xmlns:a="http://schemas.openxmlformats.org/drawingml/2006/main"/>
          <a:p xmlns:a="http://schemas.openxmlformats.org/drawingml/2006/main">
            <a:pPr>
              <a:defRPr sz="675">
                <a:latin typeface="Arial"/>
                <a:ea typeface="Arial"/>
                <a:cs typeface="Arial"/>
              </a:defRPr>
            </a:pPr>
          </a:p>
        </c:txPr>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0,,&quot;M&quot;"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crossAx val="48650112"/>
        <c:crossBetween val="between"/>
      </c:valAx>
    </c:plotArea>
    <c:legend>
      <c:legendPos val="b"/>
      <c:overlay val="0"/>
      <c:txPr>
        <a:bodyPr xmlns:a="http://schemas.openxmlformats.org/drawingml/2006/main" anchorCtr="1"/>
        <a:lstStyle xmlns:a="http://schemas.openxmlformats.org/drawingml/2006/main"/>
        <a:p xmlns:a="http://schemas.openxmlformats.org/drawingml/2006/main">
          <a:pPr>
            <a:defRPr sz="750">
              <a:latin typeface="Arial"/>
              <a:ea typeface="Arial"/>
              <a:cs typeface="Arial"/>
            </a:defRPr>
          </a:pPr>
        </a:p>
      </c:txPr>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6</xdr:col>
      <xdr:colOff>0</xdr:colOff>
      <xdr:row>6</xdr:row>
      <xdr:rowOff>0</xdr:rowOff>
    </xdr:from>
    <xdr:to>
      <xdr:col>17</xdr:col>
      <xdr:colOff>0</xdr:colOff>
      <xdr:row>31</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6a4dd06b07224822"/>
        </a:graphicData>
      </a:graphic>
    </xdr:graphicFrame>
    <xdr:clientData/>
  </xdr:twoCellAnchor>
</xdr:wsDr>
</file>

<file path=xl/tables/table1.xml><?xml version="1.0" encoding="utf-8"?>
<x:table xmlns:x="http://schemas.openxmlformats.org/spreadsheetml/2006/main" id="1" name="PurchaseLedger" displayName="PurchaseLedger" ref="A6:O352" headerRowCount="1" totalsRowCount="0" totalsRowShown="0">
  <x:tableColumns count="15">
    <x:tableColumn id="1" name="Buy date"/>
    <x:tableColumn id="2" name="Signal date"/>
    <x:tableColumn id="3" name="Stock"/>
    <x:tableColumn id="4" name="Prior month return"/>
    <x:tableColumn id="5" name="Entry adj. open"/>
    <x:tableColumn id="6" name="Final adj. close"/>
    <x:tableColumn id="7" name="Contribution"/>
    <x:tableColumn id="8" name="Adjusted units"/>
    <x:tableColumn id="9" name="Final marked value"/>
    <x:tableColumn id="10" name="SPY entry"/>
    <x:tableColumn id="11" name="SPY final price"/>
    <x:tableColumn id="12" name="SPY final value"/>
    <x:tableColumn id="13" name="Valuation status"/>
    <x:tableColumn id="14" name="Final quote date"/>
    <x:tableColumn id="15" name="Difference vs SPY"/>
  </x:tableColumns>
  <x:tableStyleInfo name="TableStyleMedium2" showFirstColumn="0" showLastColumn="0" showRowStripes="1" showColumnStripes="0"/>
</x:table>
</file>

<file path=xl/tables/table2.xml><?xml version="1.0" encoding="utf-8"?>
<x:table xmlns:x="http://schemas.openxmlformats.org/spreadsheetml/2006/main" id="2" name="MonthlyPath" displayName="MonthlyPath" ref="A6:N352" headerRowCount="1" totalsRowCount="0" totalsRowShown="0">
  <x:tableColumns count="14">
    <x:tableColumn id="1" name="Value date"/>
    <x:tableColumn id="2" name="Buy date"/>
    <x:tableColumn id="3" name="Observed winner"/>
    <x:tableColumn id="4" name="Total invested"/>
    <x:tableColumn id="5" name="Members"/>
    <x:tableColumn id="6" name="Ranked"/>
    <x:tableColumn id="7" name="Coverage"/>
    <x:tableColumn id="8" name="Leader mark"/>
    <x:tableColumn id="9" name="SPY value"/>
    <x:tableColumn id="10" name="Write-offs at cost"/>
    <x:tableColumn id="11" name="Leader value per $1"/>
    <x:tableColumn id="12" name="SPY value per $1"/>
    <x:tableColumn id="13" name="Write-off cost per $1"/>
    <x:tableColumn id="14" name="Month"/>
  </x:tableColumns>
  <x:tableStyleInfo name="TableStyleMedium2" showFirstColumn="0" showLastColumn="0" showRowStripes="1" showColumnStripes="0"/>
</x:table>
</file>

<file path=xl/tables/table3.xml><?xml version="1.0" encoding="utf-8"?>
<x:table xmlns:x="http://schemas.openxmlformats.org/spreadsheetml/2006/main" id="3" name="RetainedHoldings" displayName="RetainedHoldings" ref="A6:G209" headerRowCount="1" totalsRowCount="0" totalsRowShown="0">
  <x:tableColumns count="7">
    <x:tableColumn id="1" name="Stock"/>
    <x:tableColumn id="2" name="Purchases"/>
    <x:tableColumn id="3" name="Invested"/>
    <x:tableColumn id="4" name="Final marked value"/>
    <x:tableColumn id="5" name="Portfolio share"/>
    <x:tableColumn id="6" name="Valuation status"/>
    <x:tableColumn id="7" name="Final quote da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bcb3eac7de364eef" /></Relationships>
</file>

<file path=xl/worksheets/_rels/sheet2.xml.rels>&#65279;<?xml version="1.0" encoding="utf-8"?><Relationships xmlns="http://schemas.openxmlformats.org/package/2006/relationships"><Relationship Type="http://schemas.openxmlformats.org/officeDocument/2006/relationships/table" Target="/xl/tables/table1.xml" Id="Rf8efc0b015604aa1" /></Relationships>
</file>

<file path=xl/worksheets/_rels/sheet3.xml.rels>&#65279;<?xml version="1.0" encoding="utf-8"?><Relationships xmlns="http://schemas.openxmlformats.org/package/2006/relationships"><Relationship Type="http://schemas.openxmlformats.org/officeDocument/2006/relationships/table" Target="/xl/tables/table2.xml" Id="R177c79eb55fd401e" /></Relationships>
</file>

<file path=xl/worksheets/_rels/sheet4.xml.rels>&#65279;<?xml version="1.0" encoding="utf-8"?><Relationships xmlns="http://schemas.openxmlformats.org/package/2006/relationships"><Relationship Type="http://schemas.openxmlformats.org/officeDocument/2006/relationships/table" Target="/xl/tables/table3.xml" Id="Ra338b2ce65444375" /></Relationships>
</file>

<file path=xl/worksheets/sheet1.xml><?xml version="1.0" encoding="utf-8"?>
<x:worksheet xmlns:x="http://schemas.openxmlformats.org/spreadsheetml/2006/main">
  <x:sheetPr>
    <x:tabColor rgb="FF233950"/>
  </x:sheetPr>
  <x:sheetViews>
    <x:sheetView showGridLines="0" workbookViewId="0"/>
  </x:sheetViews>
  <x:sheetFormatPr defaultRowHeight="15"/>
  <x:cols>
    <x:col min="1" max="1" width="3" hidden="0" customWidth="1"/>
    <x:col min="2" max="2" width="35" hidden="0" customWidth="1"/>
    <x:col min="3" max="3" width="21" hidden="0" customWidth="1"/>
    <x:col min="4" max="4" width="21" hidden="0" customWidth="1"/>
    <x:col min="5" max="5" width="13"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 min="15" max="15" width="13" hidden="0" customWidth="1"/>
    <x:col min="16" max="16" width="13" hidden="0" customWidth="1"/>
    <x:col min="17" max="17" width="13" hidden="0" customWidth="1"/>
  </x:cols>
  <x:sheetData>
    <x:row r="1" ht="22" customHeight="1">
      <x:c r="A1" s="2"/>
      <x:c r="B1" s="2"/>
      <x:c r="C1" s="2"/>
      <x:c r="D1" s="2"/>
      <x:c r="E1" s="2"/>
      <x:c r="F1" s="2"/>
      <x:c r="G1" s="2"/>
      <x:c r="H1" s="2"/>
      <x:c r="I1" s="2"/>
      <x:c r="J1" s="2"/>
      <x:c r="K1" s="2"/>
      <x:c r="L1" s="2"/>
      <x:c r="M1" s="2"/>
      <x:c r="N1" s="2"/>
      <x:c r="O1" s="2"/>
      <x:c r="P1" s="2"/>
      <x:c r="Q1" s="2"/>
    </x:row>
    <x:row r="2" ht="22" customHeight="1">
      <x:c r="A2" s="2"/>
      <x:c r="B2" s="3" t="str">
        <x:v>Monthly winner strategy since 1998</x:v>
      </x:c>
      <x:c r="C2" s="2"/>
      <x:c r="D2" s="2"/>
      <x:c r="E2" s="2"/>
      <x:c r="F2" s="2"/>
      <x:c r="G2" s="2"/>
      <x:c r="H2" s="2"/>
      <x:c r="I2" s="2"/>
      <x:c r="J2" s="2"/>
      <x:c r="K2" s="2"/>
      <x:c r="L2" s="2"/>
      <x:c r="M2" s="2"/>
      <x:c r="N2" s="2"/>
      <x:c r="O2" s="2"/>
      <x:c r="P2" s="2"/>
      <x:c r="Q2" s="2"/>
    </x:row>
    <x:row r="3" ht="22" customHeight="1">
      <x:c r="A3" s="2"/>
      <x:c r="B3" s="4"/>
      <x:c r="C3" s="4"/>
      <x:c r="D3" s="4"/>
      <x:c r="E3" s="4"/>
      <x:c r="F3" s="4"/>
      <x:c r="G3" s="4"/>
      <x:c r="H3" s="4"/>
      <x:c r="I3" s="4"/>
      <x:c r="J3" s="4"/>
      <x:c r="K3" s="4"/>
      <x:c r="L3" s="4"/>
      <x:c r="M3" s="4"/>
      <x:c r="N3" s="4"/>
      <x:c r="O3" s="4"/>
      <x:c r="P3" s="4"/>
      <x:c r="Q3" s="4"/>
    </x:row>
    <x:row r="4" ht="22" customHeight="1">
      <x:c r="A4" s="2"/>
      <x:c r="B4" s="2"/>
      <x:c r="C4" s="2"/>
      <x:c r="D4" s="2"/>
      <x:c r="E4" s="2"/>
      <x:c r="F4" s="2"/>
      <x:c r="G4" s="2"/>
      <x:c r="H4" s="2"/>
      <x:c r="I4" s="2"/>
      <x:c r="J4" s="2"/>
      <x:c r="K4" s="2"/>
      <x:c r="L4" s="2"/>
      <x:c r="M4" s="2"/>
      <x:c r="N4" s="2"/>
      <x:c r="O4" s="2"/>
      <x:c r="P4" s="2"/>
      <x:c r="Q4" s="2"/>
    </x:row>
    <x:row r="5" ht="22" customHeight="1">
      <x:c r="A5" s="2"/>
      <x:c r="B5" s="14" t="str">
        <x:v>Finalized approximation: ended histories valued at $0</x:v>
      </x:c>
      <x:c r="C5" s="2"/>
      <x:c r="D5" s="2"/>
      <x:c r="E5" s="2"/>
      <x:c r="F5" s="2"/>
      <x:c r="G5" s="2"/>
      <x:c r="H5" s="2"/>
      <x:c r="I5" s="2"/>
      <x:c r="J5" s="2"/>
      <x:c r="K5" s="2"/>
      <x:c r="L5" s="2"/>
      <x:c r="M5" s="2"/>
      <x:c r="N5" s="2"/>
      <x:c r="O5" s="2"/>
      <x:c r="P5" s="2"/>
      <x:c r="Q5" s="2"/>
    </x:row>
    <x:row r="6" ht="22" customHeight="1">
      <x:c r="A6" s="2"/>
      <x:c r="B6" s="2"/>
      <x:c r="C6" s="2"/>
      <x:c r="D6" s="2"/>
      <x:c r="E6" s="2"/>
      <x:c r="F6" s="2"/>
      <x:c r="G6" s="2"/>
      <x:c r="H6" s="2"/>
      <x:c r="I6" s="2"/>
      <x:c r="J6" s="2"/>
      <x:c r="K6" s="2"/>
      <x:c r="L6" s="2"/>
      <x:c r="M6" s="2"/>
      <x:c r="N6" s="2"/>
      <x:c r="O6" s="2"/>
      <x:c r="P6" s="2"/>
      <x:c r="Q6" s="2"/>
    </x:row>
    <x:row r="7" ht="30" customHeight="1">
      <x:c r="A7" s="2"/>
      <x:c r="B7" s="7" t="str">
        <x:v>Metric</x:v>
      </x:c>
      <x:c r="C7" s="7" t="str">
        <x:v>Observed leaders</x:v>
      </x:c>
      <x:c r="D7" s="7" t="str">
        <x:v>S&amp;P 500 via SPY</x:v>
      </x:c>
      <x:c r="E7" s="2"/>
      <x:c r="F7" s="2"/>
      <x:c r="G7" s="2"/>
      <x:c r="H7" s="2"/>
      <x:c r="I7" s="2"/>
      <x:c r="J7" s="2"/>
      <x:c r="K7" s="2"/>
      <x:c r="L7" s="2"/>
      <x:c r="M7" s="2"/>
      <x:c r="N7" s="2"/>
      <x:c r="O7" s="2"/>
      <x:c r="P7" s="2"/>
      <x:c r="Q7" s="2"/>
    </x:row>
    <x:row r="8" ht="22" customHeight="1">
      <x:c r="A8" s="2"/>
      <x:c r="B8" s="2" t="str">
        <x:v>Monthly deposit</x:v>
      </x:c>
      <x:c r="C8" s="11" t="n">
        <x:f>$C$18</x:f>
        <x:v>1000</x:v>
      </x:c>
      <x:c r="D8" s="11" t="n">
        <x:f>$C$18</x:f>
        <x:v>1000</x:v>
      </x:c>
      <x:c r="E8" s="2"/>
      <x:c r="F8" s="2"/>
      <x:c r="G8" s="2"/>
      <x:c r="H8" s="2"/>
      <x:c r="I8" s="2"/>
      <x:c r="J8" s="2"/>
      <x:c r="K8" s="2"/>
      <x:c r="L8" s="2"/>
      <x:c r="M8" s="2"/>
      <x:c r="N8" s="2"/>
      <x:c r="O8" s="2"/>
      <x:c r="P8" s="2"/>
      <x:c r="Q8" s="2"/>
    </x:row>
    <x:row r="9" ht="22" customHeight="1">
      <x:c r="A9" s="2"/>
      <x:c r="B9" s="2" t="str">
        <x:v>Total contributions</x:v>
      </x:c>
      <x:c r="C9" s="11" t="n">
        <x:f>SUM('Purchases'!G7:G352)</x:f>
        <x:v>346000</x:v>
      </x:c>
      <x:c r="D9" s="11" t="n">
        <x:f>C9</x:f>
        <x:v>346000</x:v>
      </x:c>
      <x:c r="E9" s="2"/>
      <x:c r="F9" s="2"/>
      <x:c r="G9" s="2"/>
      <x:c r="H9" s="2"/>
      <x:c r="I9" s="2"/>
      <x:c r="J9" s="2"/>
      <x:c r="K9" s="2"/>
      <x:c r="L9" s="2"/>
      <x:c r="M9" s="2"/>
      <x:c r="N9" s="2"/>
      <x:c r="O9" s="2"/>
      <x:c r="P9" s="2"/>
      <x:c r="Q9" s="2"/>
    </x:row>
    <x:row r="10" ht="22" customHeight="1">
      <x:c r="A10" s="2"/>
      <x:c r="B10" s="15" t="str">
        <x:v>Ending value</x:v>
      </x:c>
      <x:c r="C10" s="17" t="n">
        <x:f>SUM('Purchases'!I7:I352)</x:f>
        <x:v>8204466.908587022</x:v>
      </x:c>
      <x:c r="D10" s="18" t="n">
        <x:f>SUM('Purchases'!L7:L352)</x:f>
        <x:v>2258566.7296653767</x:v>
      </x:c>
      <x:c r="E10" s="2"/>
      <x:c r="F10" s="2"/>
      <x:c r="G10" s="2"/>
      <x:c r="H10" s="2"/>
      <x:c r="I10" s="2"/>
      <x:c r="J10" s="2"/>
      <x:c r="K10" s="2"/>
      <x:c r="L10" s="2"/>
      <x:c r="M10" s="2"/>
      <x:c r="N10" s="2"/>
      <x:c r="O10" s="2"/>
      <x:c r="P10" s="2"/>
      <x:c r="Q10" s="2"/>
    </x:row>
    <x:row r="11" ht="22" customHeight="1">
      <x:c r="A11" s="2"/>
      <x:c r="B11" s="2" t="str">
        <x:v>Investment gain</x:v>
      </x:c>
      <x:c r="C11" s="11" t="n">
        <x:f>C10-C9</x:f>
        <x:v>7858466.908587022</x:v>
      </x:c>
      <x:c r="D11" s="11" t="n">
        <x:f>D10-D9</x:f>
        <x:v>1912566.7296653767</x:v>
      </x:c>
      <x:c r="E11" s="2"/>
      <x:c r="F11" s="2"/>
      <x:c r="G11" s="2"/>
      <x:c r="H11" s="2"/>
      <x:c r="I11" s="2"/>
      <x:c r="J11" s="2"/>
      <x:c r="K11" s="2"/>
      <x:c r="L11" s="2"/>
      <x:c r="M11" s="2"/>
      <x:c r="N11" s="2"/>
      <x:c r="O11" s="2"/>
      <x:c r="P11" s="2"/>
      <x:c r="Q11" s="2"/>
    </x:row>
    <x:row r="12" ht="22" customHeight="1">
      <x:c r="A12" s="2"/>
      <x:c r="B12" s="2" t="str">
        <x:v>Money-weighted annual return</x:v>
      </x:c>
      <x:c r="C12" s="9" t="n">
        <x:f>0.17838820522812915</x:f>
        <x:v>0.17838820522812915</x:v>
      </x:c>
      <x:c r="D12" s="9" t="n">
        <x:f>0.11114936455069935</x:f>
        <x:v>0.11114936455069935</x:v>
      </x:c>
      <x:c r="E12" s="2"/>
      <x:c r="F12" s="2"/>
      <x:c r="G12" s="2"/>
      <x:c r="H12" s="2"/>
      <x:c r="I12" s="2"/>
      <x:c r="J12" s="2"/>
      <x:c r="K12" s="2"/>
      <x:c r="L12" s="2"/>
      <x:c r="M12" s="2"/>
      <x:c r="N12" s="2"/>
      <x:c r="O12" s="2"/>
      <x:c r="P12" s="2"/>
      <x:c r="Q12" s="2"/>
    </x:row>
    <x:row r="13" ht="22" customHeight="1">
      <x:c r="A13" s="2"/>
      <x:c r="B13" s="2"/>
      <x:c r="C13" s="2"/>
      <x:c r="D13" s="2"/>
      <x:c r="E13" s="2"/>
      <x:c r="F13" s="2"/>
      <x:c r="G13" s="2"/>
      <x:c r="H13" s="2"/>
      <x:c r="I13" s="2"/>
      <x:c r="J13" s="2"/>
      <x:c r="K13" s="2"/>
      <x:c r="L13" s="2"/>
      <x:c r="M13" s="2"/>
      <x:c r="N13" s="2"/>
      <x:c r="O13" s="2"/>
      <x:c r="P13" s="2"/>
      <x:c r="Q13" s="2"/>
    </x:row>
    <x:row r="14" ht="22" customHeight="1">
      <x:c r="A14" s="2"/>
      <x:c r="B14" s="2" t="str">
        <x:v>Months with incomplete ranking</x:v>
      </x:c>
      <x:c r="C14" s="2" t="n">
        <x:f>COUNTIFS('Monthly results'!G7:G352,"&lt;1")</x:f>
        <x:v>235</x:v>
      </x:c>
      <x:c r="D14" s="2"/>
      <x:c r="E14" s="2"/>
      <x:c r="F14" s="2"/>
      <x:c r="G14" s="2"/>
      <x:c r="H14" s="2"/>
      <x:c r="I14" s="2"/>
      <x:c r="J14" s="2"/>
      <x:c r="K14" s="2"/>
      <x:c r="L14" s="2"/>
      <x:c r="M14" s="2"/>
      <x:c r="N14" s="2"/>
      <x:c r="O14" s="2"/>
      <x:c r="P14" s="2"/>
      <x:c r="Q14" s="2"/>
    </x:row>
    <x:row r="15" ht="22" customHeight="1">
      <x:c r="A15" s="2"/>
      <x:c r="B15" s="2" t="str">
        <x:v>Stocks valued at $0</x:v>
      </x:c>
      <x:c r="C15" s="2" t="n">
        <x:v>72</x:v>
      </x:c>
      <x:c r="D15" s="2"/>
      <x:c r="E15" s="2"/>
      <x:c r="F15" s="2"/>
      <x:c r="G15" s="2"/>
      <x:c r="H15" s="2"/>
      <x:c r="I15" s="2"/>
      <x:c r="J15" s="2"/>
      <x:c r="K15" s="2"/>
      <x:c r="L15" s="2"/>
      <x:c r="M15" s="2"/>
      <x:c r="N15" s="2"/>
      <x:c r="O15" s="2"/>
      <x:c r="P15" s="2"/>
      <x:c r="Q15" s="2"/>
    </x:row>
    <x:row r="16" ht="22" customHeight="1">
      <x:c r="A16" s="2"/>
      <x:c r="B16" s="2" t="str">
        <x:v>Apple and Nvidia combined share</x:v>
      </x:c>
      <x:c r="C16" s="9" t="n">
        <x:f>(SUMIFS('Holdings'!D7:D209,'Holdings'!A7:A209,"NVDA")+SUMIFS('Holdings'!D7:D209,'Holdings'!A7:A209,"AAPL"))/C10</x:f>
        <x:v>0.7139579532372451</x:v>
      </x:c>
      <x:c r="D16" s="2"/>
      <x:c r="E16" s="2"/>
      <x:c r="F16" s="2"/>
      <x:c r="G16" s="2"/>
      <x:c r="H16" s="2"/>
      <x:c r="I16" s="2"/>
      <x:c r="J16" s="2"/>
      <x:c r="K16" s="2"/>
      <x:c r="L16" s="2"/>
      <x:c r="M16" s="2"/>
      <x:c r="N16" s="2"/>
      <x:c r="O16" s="2"/>
      <x:c r="P16" s="2"/>
      <x:c r="Q16" s="2"/>
    </x:row>
    <x:row r="17" ht="22" customHeight="1">
      <x:c r="A17" s="2"/>
      <x:c r="B17" s="2" t="str">
        <x:v>Write-off purchases (initial cost)</x:v>
      </x:c>
      <x:c r="C17" s="11" t="n">
        <x:v>113000</x:v>
      </x:c>
      <x:c r="D17" s="2"/>
      <x:c r="E17" s="2"/>
      <x:c r="F17" s="2"/>
      <x:c r="G17" s="2"/>
      <x:c r="H17" s="2"/>
      <x:c r="I17" s="2"/>
      <x:c r="J17" s="2"/>
      <x:c r="K17" s="2"/>
      <x:c r="L17" s="2"/>
      <x:c r="M17" s="2"/>
      <x:c r="N17" s="2"/>
      <x:c r="O17" s="2"/>
      <x:c r="P17" s="2"/>
      <x:c r="Q17" s="2"/>
    </x:row>
    <x:row r="18" ht="22" customHeight="1">
      <x:c r="A18" s="2"/>
      <x:c r="B18" s="2" t="str">
        <x:v>Monthly contribution (editable)</x:v>
      </x:c>
      <x:c r="C18" s="21" t="n">
        <x:v>1000</x:v>
      </x:c>
      <x:c r="D18" s="2"/>
      <x:c r="E18" s="2"/>
      <x:c r="F18" s="2"/>
      <x:c r="G18" s="2"/>
      <x:c r="H18" s="2"/>
      <x:c r="I18" s="2"/>
      <x:c r="J18" s="2"/>
      <x:c r="K18" s="2"/>
      <x:c r="L18" s="2"/>
      <x:c r="M18" s="2"/>
      <x:c r="N18" s="2"/>
      <x:c r="O18" s="2"/>
      <x:c r="P18" s="2"/>
      <x:c r="Q18" s="2"/>
    </x:row>
    <x:row r="19" ht="22" customHeight="1">
      <x:c r="A19" s="2"/>
      <x:c r="B19" s="2" t="str">
        <x:v>First purchase</x:v>
      </x:c>
      <x:c r="C19" s="8" t="d">
        <x:v>1998-01-02T00:00:00.000Z</x:v>
      </x:c>
      <x:c r="D19" s="2"/>
      <x:c r="E19" s="2"/>
      <x:c r="F19" s="2"/>
      <x:c r="G19" s="2"/>
      <x:c r="H19" s="2"/>
      <x:c r="I19" s="2"/>
      <x:c r="J19" s="2"/>
      <x:c r="K19" s="2"/>
      <x:c r="L19" s="2"/>
      <x:c r="M19" s="2"/>
      <x:c r="N19" s="2"/>
      <x:c r="O19" s="2"/>
      <x:c r="P19" s="2"/>
      <x:c r="Q19" s="2"/>
    </x:row>
    <x:row r="20" ht="22" customHeight="1">
      <x:c r="A20" s="2"/>
      <x:c r="B20" s="2" t="str">
        <x:v>End of analysis</x:v>
      </x:c>
      <x:c r="C20" s="8" t="d">
        <x:v>2026-10-09T00:00:00.000Z</x:v>
      </x:c>
      <x:c r="D20" s="2"/>
      <x:c r="E20" s="2"/>
      <x:c r="F20" s="2"/>
      <x:c r="G20" s="2"/>
      <x:c r="H20" s="2"/>
      <x:c r="I20" s="2"/>
      <x:c r="J20" s="2"/>
      <x:c r="K20" s="2"/>
      <x:c r="L20" s="2"/>
      <x:c r="M20" s="2"/>
      <x:c r="N20" s="2"/>
      <x:c r="O20" s="2"/>
      <x:c r="P20" s="2"/>
      <x:c r="Q20" s="2"/>
    </x:row>
    <x:row r="21" ht="22" customHeight="1">
      <x:c r="A21" s="2"/>
      <x:c r="B21" s="2"/>
      <x:c r="C21" s="2"/>
      <x:c r="D21" s="2"/>
      <x:c r="E21" s="2"/>
      <x:c r="F21" s="2"/>
      <x:c r="G21" s="2"/>
      <x:c r="H21" s="2"/>
      <x:c r="I21" s="2"/>
      <x:c r="J21" s="2"/>
      <x:c r="K21" s="2"/>
      <x:c r="L21" s="2"/>
      <x:c r="M21" s="2"/>
      <x:c r="N21" s="2"/>
      <x:c r="O21" s="2"/>
      <x:c r="P21" s="2"/>
      <x:c r="Q21" s="2"/>
    </x:row>
    <x:row r="22" ht="22" customHeight="1">
      <x:c r="A22" s="2"/>
      <x:c r="B22" s="15" t="str">
        <x:v>Largest holdings in the finalized model</x:v>
      </x:c>
      <x:c r="C22" s="2"/>
      <x:c r="D22" s="2"/>
      <x:c r="E22" s="2"/>
      <x:c r="F22" s="2"/>
      <x:c r="G22" s="2"/>
      <x:c r="H22" s="2"/>
      <x:c r="I22" s="2"/>
      <x:c r="J22" s="2"/>
      <x:c r="K22" s="2"/>
      <x:c r="L22" s="2"/>
      <x:c r="M22" s="2"/>
      <x:c r="N22" s="2"/>
      <x:c r="O22" s="2"/>
      <x:c r="P22" s="2"/>
      <x:c r="Q22" s="2"/>
    </x:row>
    <x:row r="23" ht="30" customHeight="1">
      <x:c r="A23" s="2"/>
      <x:c r="B23" s="7" t="str">
        <x:v>Stock</x:v>
      </x:c>
      <x:c r="C23" s="7" t="str">
        <x:v>Marked value</x:v>
      </x:c>
      <x:c r="D23" s="7" t="str">
        <x:v>Share</x:v>
      </x:c>
      <x:c r="E23" s="2"/>
      <x:c r="F23" s="2"/>
      <x:c r="G23" s="2"/>
      <x:c r="H23" s="2"/>
      <x:c r="I23" s="2"/>
      <x:c r="J23" s="2"/>
      <x:c r="K23" s="2"/>
      <x:c r="L23" s="2"/>
      <x:c r="M23" s="2"/>
      <x:c r="N23" s="2"/>
      <x:c r="O23" s="2"/>
      <x:c r="P23" s="2"/>
      <x:c r="Q23" s="2"/>
    </x:row>
    <x:row r="24" ht="22" customHeight="1">
      <x:c r="A24" s="2"/>
      <x:c r="B24" s="2" t="str">
        <x:f>'Holdings'!A7</x:f>
        <x:v>NVDA</x:v>
      </x:c>
      <x:c r="C24" s="11" t="n">
        <x:f>'Holdings'!D7</x:f>
        <x:v>3131931.541654517</x:v>
      </x:c>
      <x:c r="D24" s="9" t="n">
        <x:f>'Holdings'!E7</x:f>
        <x:v>0.381734922762203</x:v>
      </x:c>
      <x:c r="E24" s="2"/>
      <x:c r="F24" s="2"/>
      <x:c r="G24" s="2"/>
      <x:c r="H24" s="2"/>
      <x:c r="I24" s="2"/>
      <x:c r="J24" s="2"/>
      <x:c r="K24" s="2"/>
      <x:c r="L24" s="2"/>
      <x:c r="M24" s="2"/>
      <x:c r="N24" s="2"/>
      <x:c r="O24" s="2"/>
      <x:c r="P24" s="2"/>
      <x:c r="Q24" s="2"/>
    </x:row>
    <x:row r="25" ht="22" customHeight="1">
      <x:c r="A25" s="2"/>
      <x:c r="B25" s="2" t="str">
        <x:f>'Holdings'!A8</x:f>
        <x:v>AAPL</x:v>
      </x:c>
      <x:c r="C25" s="11" t="n">
        <x:f>'Holdings'!D8</x:f>
        <x:v>2725712.8598029814</x:v>
      </x:c>
      <x:c r="D25" s="9" t="n">
        <x:f>'Holdings'!E8</x:f>
        <x:v>0.3322230304750422</x:v>
      </x:c>
      <x:c r="E25" s="2"/>
      <x:c r="F25" s="2"/>
      <x:c r="G25" s="2"/>
      <x:c r="H25" s="2"/>
      <x:c r="I25" s="2"/>
      <x:c r="J25" s="2"/>
      <x:c r="K25" s="2"/>
      <x:c r="L25" s="2"/>
      <x:c r="M25" s="2"/>
      <x:c r="N25" s="2"/>
      <x:c r="O25" s="2"/>
      <x:c r="P25" s="2"/>
      <x:c r="Q25" s="2"/>
    </x:row>
    <x:row r="26" ht="22" customHeight="1">
      <x:c r="A26" s="2"/>
      <x:c r="B26" s="2" t="str">
        <x:f>'Holdings'!A9</x:f>
        <x:v>MU</x:v>
      </x:c>
      <x:c r="C26" s="11" t="n">
        <x:f>'Holdings'!D9</x:f>
        <x:v>450257.4980896591</x:v>
      </x:c>
      <x:c r="D26" s="9" t="n">
        <x:f>'Holdings'!E9</x:f>
        <x:v>0.054879555625778335</x:v>
      </x:c>
      <x:c r="E26" s="2"/>
      <x:c r="F26" s="2"/>
      <x:c r="G26" s="2"/>
      <x:c r="H26" s="2"/>
      <x:c r="I26" s="2"/>
      <x:c r="J26" s="2"/>
      <x:c r="K26" s="2"/>
      <x:c r="L26" s="2"/>
      <x:c r="M26" s="2"/>
      <x:c r="N26" s="2"/>
      <x:c r="O26" s="2"/>
      <x:c r="P26" s="2"/>
      <x:c r="Q26" s="2"/>
    </x:row>
    <x:row r="27" ht="22" customHeight="1">
      <x:c r="A27" s="2"/>
      <x:c r="B27" s="2" t="str">
        <x:f>'Holdings'!A10</x:f>
        <x:v>AMD</x:v>
      </x:c>
      <x:c r="C27" s="11" t="n">
        <x:f>'Holdings'!D10</x:f>
        <x:v>372415.5655167138</x:v>
      </x:c>
      <x:c r="D27" s="9" t="n">
        <x:f>'Holdings'!E10</x:f>
        <x:v>0.04539180542332779</x:v>
      </x:c>
      <x:c r="E27" s="2"/>
      <x:c r="F27" s="2"/>
      <x:c r="G27" s="2"/>
      <x:c r="H27" s="2"/>
      <x:c r="I27" s="2"/>
      <x:c r="J27" s="2"/>
      <x:c r="K27" s="2"/>
      <x:c r="L27" s="2"/>
      <x:c r="M27" s="2"/>
      <x:c r="N27" s="2"/>
      <x:c r="O27" s="2"/>
      <x:c r="P27" s="2"/>
      <x:c r="Q27" s="2"/>
    </x:row>
    <x:row r="28" ht="22" customHeight="1">
      <x:c r="A28" s="2"/>
      <x:c r="B28" s="2" t="str">
        <x:f>'Holdings'!A11</x:f>
        <x:v>DDS</x:v>
      </x:c>
      <x:c r="C28" s="11" t="n">
        <x:f>'Holdings'!D11</x:f>
        <x:v>210371.01684436316</x:v>
      </x:c>
      <x:c r="D28" s="9" t="n">
        <x:f>'Holdings'!E11</x:f>
        <x:v>0.025641034230290214</x:v>
      </x:c>
      <x:c r="E28" s="2"/>
      <x:c r="F28" s="2"/>
      <x:c r="G28" s="2"/>
      <x:c r="H28" s="2"/>
      <x:c r="I28" s="2"/>
      <x:c r="J28" s="2"/>
      <x:c r="K28" s="2"/>
      <x:c r="L28" s="2"/>
      <x:c r="M28" s="2"/>
      <x:c r="N28" s="2"/>
      <x:c r="O28" s="2"/>
      <x:c r="P28" s="2"/>
      <x:c r="Q28" s="2"/>
    </x:row>
    <x:row r="29" ht="22" customHeight="1">
      <x:c r="A29" s="2"/>
      <x:c r="B29" s="2" t="str">
        <x:f>'Holdings'!A12</x:f>
        <x:v>NFLX</x:v>
      </x:c>
      <x:c r="C29" s="11" t="n">
        <x:f>'Holdings'!D12</x:f>
        <x:v>155863.7955339284</x:v>
      </x:c>
      <x:c r="D29" s="9" t="n">
        <x:f>'Holdings'!E12</x:f>
        <x:v>0.018997431188466012</x:v>
      </x:c>
      <x:c r="E29" s="2"/>
      <x:c r="F29" s="2"/>
      <x:c r="G29" s="2"/>
      <x:c r="H29" s="2"/>
      <x:c r="I29" s="2"/>
      <x:c r="J29" s="2"/>
      <x:c r="K29" s="2"/>
      <x:c r="L29" s="2"/>
      <x:c r="M29" s="2"/>
      <x:c r="N29" s="2"/>
      <x:c r="O29" s="2"/>
      <x:c r="P29" s="2"/>
      <x:c r="Q29" s="2"/>
    </x:row>
    <x:row r="30" ht="22" customHeight="1">
      <x:c r="A30" s="2"/>
      <x:c r="B30" s="2" t="str">
        <x:f>'Holdings'!A13</x:f>
        <x:v>AMZN</x:v>
      </x:c>
      <x:c r="C30" s="11" t="n">
        <x:f>'Holdings'!D13</x:f>
        <x:v>130105.94721410838</x:v>
      </x:c>
      <x:c r="D30" s="9" t="n">
        <x:f>'Holdings'!E13</x:f>
        <x:v>0.015857940395607655</x:v>
      </x:c>
      <x:c r="E30" s="2"/>
      <x:c r="F30" s="2"/>
      <x:c r="G30" s="2"/>
      <x:c r="H30" s="2"/>
      <x:c r="I30" s="2"/>
      <x:c r="J30" s="2"/>
      <x:c r="K30" s="2"/>
      <x:c r="L30" s="2"/>
      <x:c r="M30" s="2"/>
      <x:c r="N30" s="2"/>
      <x:c r="O30" s="2"/>
      <x:c r="P30" s="2"/>
      <x:c r="Q30" s="2"/>
    </x:row>
    <x:row r="31" ht="22" customHeight="1">
      <x:c r="A31" s="2"/>
      <x:c r="B31" s="2" t="str">
        <x:f>'Holdings'!A14</x:f>
        <x:v>HUM</x:v>
      </x:c>
      <x:c r="C31" s="11" t="n">
        <x:f>'Holdings'!D14</x:f>
        <x:v>70026.08355177139</x:v>
      </x:c>
      <x:c r="D31" s="9" t="n">
        <x:f>'Holdings'!E14</x:f>
        <x:v>0.008535116825016401</x:v>
      </x:c>
      <x:c r="E31" s="2"/>
      <x:c r="F31" s="2"/>
      <x:c r="G31" s="2"/>
      <x:c r="H31" s="2"/>
      <x:c r="I31" s="2"/>
      <x:c r="J31" s="2"/>
      <x:c r="K31" s="2"/>
      <x:c r="L31" s="2"/>
      <x:c r="M31" s="2"/>
      <x:c r="N31" s="2"/>
      <x:c r="O31" s="2"/>
      <x:c r="P31" s="2"/>
      <x:c r="Q31" s="2"/>
    </x:row>
    <x:row r="32" ht="22" customHeight="1">
      <x:c r="A32" s="2"/>
      <x:c r="B32" s="2"/>
      <x:c r="C32" s="2"/>
      <x:c r="D32" s="2"/>
      <x:c r="E32" s="2"/>
      <x:c r="F32" s="2"/>
      <x:c r="G32" s="2"/>
      <x:c r="H32" s="2"/>
      <x:c r="I32" s="2"/>
      <x:c r="J32" s="2"/>
      <x:c r="K32" s="2"/>
      <x:c r="L32" s="2"/>
      <x:c r="M32" s="2"/>
      <x:c r="N32" s="2"/>
      <x:c r="O32" s="2"/>
      <x:c r="P32" s="2"/>
      <x:c r="Q32" s="2"/>
    </x:row>
    <x:row r="33" ht="22" customHeight="1">
      <x:c r="A33" s="2"/>
      <x:c r="B33" s="2"/>
      <x:c r="C33" s="2"/>
      <x:c r="D33" s="2"/>
      <x:c r="E33" s="2"/>
      <x:c r="F33" s="2"/>
      <x:c r="G33" s="2"/>
      <x:c r="H33" s="2"/>
      <x:c r="I33" s="2"/>
      <x:c r="J33" s="2"/>
      <x:c r="K33" s="2"/>
      <x:c r="L33" s="2"/>
      <x:c r="M33" s="2"/>
      <x:c r="N33" s="2"/>
      <x:c r="O33" s="2"/>
      <x:c r="P33" s="2"/>
      <x:c r="Q33" s="2"/>
    </x:row>
    <x:row r="34" ht="22" customHeight="1">
      <x:c r="A34" s="2"/>
      <x:c r="B34" s="22" t="str">
        <x:v>Early price gaps can change the stock selected each month.</x:v>
      </x:c>
      <x:c r="C34" s="22"/>
      <x:c r="D34" s="22"/>
      <x:c r="E34" s="22"/>
      <x:c r="F34" s="22"/>
      <x:c r="G34" s="22"/>
      <x:c r="H34" s="22"/>
      <x:c r="I34" s="22"/>
      <x:c r="J34" s="22"/>
      <x:c r="K34" s="22"/>
      <x:c r="L34" s="22"/>
      <x:c r="M34" s="22"/>
      <x:c r="N34" s="22"/>
      <x:c r="O34" s="22"/>
      <x:c r="P34" s="22"/>
      <x:c r="Q34" s="22"/>
    </x:row>
    <x:row r="35" ht="22" customHeight="1">
      <x:c r="A35" s="2"/>
      <x:c r="B35" s="22" t="str">
        <x:v>Ended histories are written off at $0. Extra split multipliers were corrected under documented assumptions.</x:v>
      </x:c>
      <x:c r="C35" s="22"/>
      <x:c r="D35" s="22"/>
      <x:c r="E35" s="22"/>
      <x:c r="F35" s="22"/>
      <x:c r="G35" s="22"/>
      <x:c r="H35" s="22"/>
      <x:c r="I35" s="22"/>
      <x:c r="J35" s="22"/>
      <x:c r="K35" s="22"/>
      <x:c r="L35" s="22"/>
      <x:c r="M35" s="22"/>
      <x:c r="N35" s="22"/>
      <x:c r="O35" s="22"/>
      <x:c r="P35" s="22"/>
      <x:c r="Q35" s="22"/>
    </x:row>
    <x:row r="36" ht="22" customHeight="1">
      <x:c r="A36" s="2"/>
      <x:c r="B36" s="22" t="str">
        <x:v>Missing candidates are omitted from rankings, so this is an approximate historical-universe test.</x:v>
      </x:c>
      <x:c r="C36" s="22"/>
      <x:c r="D36" s="22"/>
      <x:c r="E36" s="22"/>
      <x:c r="F36" s="22"/>
      <x:c r="G36" s="22"/>
      <x:c r="H36" s="22"/>
      <x:c r="I36" s="22"/>
      <x:c r="J36" s="22"/>
      <x:c r="K36" s="22"/>
      <x:c r="L36" s="22"/>
      <x:c r="M36" s="22"/>
      <x:c r="N36" s="22"/>
      <x:c r="O36" s="22"/>
      <x:c r="P36" s="22"/>
      <x:c r="Q36" s="22"/>
    </x:row>
    <x:row r="37" ht="22" customHeight="1">
      <x:c r="A37" s="2"/>
      <x:c r="B37" s="2"/>
      <x:c r="C37" s="2"/>
      <x:c r="D37" s="2"/>
      <x:c r="E37" s="2"/>
      <x:c r="F37" s="2"/>
      <x:c r="G37" s="2"/>
      <x:c r="H37" s="2"/>
      <x:c r="I37" s="2"/>
      <x:c r="J37" s="2"/>
      <x:c r="K37" s="2"/>
      <x:c r="L37" s="2"/>
      <x:c r="M37" s="2"/>
      <x:c r="N37" s="2"/>
      <x:c r="O37" s="2"/>
      <x:c r="P37" s="2"/>
      <x:c r="Q37" s="2"/>
    </x:row>
  </x:sheetData>
  <x:pageMargins left="0.7" right="0.7" top="0.75" bottom="0.75" header="0.3" footer="0.3"/>
  <x:drawing xmlns:r="http://schemas.openxmlformats.org/officeDocument/2006/relationships" r:id="Rbcb3eac7de364eef"/>
</x:worksheet>
</file>

<file path=xl/worksheets/sheet2.xml><?xml version="1.0" encoding="utf-8"?>
<x:worksheet xmlns:x="http://schemas.openxmlformats.org/spreadsheetml/2006/main">
  <x:sheetViews>
    <x:sheetView showGridLines="0" workbookViewId="0">
      <x:pane xSplit="3" ySplit="6" topLeftCell="D7" activePane="bottomRight" state="frozen"/>
    </x:sheetView>
  </x:sheetViews>
  <x:sheetFormatPr defaultRowHeight="15"/>
  <x:cols>
    <x:col min="1" max="1" width="17" hidden="0" customWidth="1"/>
    <x:col min="2" max="2" width="17" hidden="0" customWidth="1"/>
    <x:col min="3" max="3" width="20"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32" hidden="0" customWidth="1"/>
    <x:col min="14" max="14" width="17" hidden="0" customWidth="1"/>
    <x:col min="15" max="15" width="17" hidden="0" customWidth="1"/>
  </x:cols>
  <x:sheetData>
    <x:row r="1" ht="22" customHeight="1">
      <x:c r="A1" s="2"/>
      <x:c r="B1" s="2"/>
      <x:c r="C1" s="2"/>
      <x:c r="D1" s="2"/>
      <x:c r="E1" s="2"/>
      <x:c r="F1" s="2"/>
      <x:c r="G1" s="2"/>
      <x:c r="H1" s="2"/>
      <x:c r="I1" s="2"/>
      <x:c r="J1" s="2"/>
      <x:c r="K1" s="2"/>
      <x:c r="L1" s="2"/>
      <x:c r="M1" s="2"/>
      <x:c r="N1" s="2"/>
      <x:c r="O1" s="2"/>
    </x:row>
    <x:row r="2" ht="22" customHeight="1">
      <x:c r="A2" s="3" t="str">
        <x:v>Monthly purchases and final valuations</x:v>
      </x:c>
      <x:c r="B2" s="2"/>
      <x:c r="C2" s="2"/>
      <x:c r="D2" s="2"/>
      <x:c r="E2" s="2"/>
      <x:c r="F2" s="2"/>
      <x:c r="G2" s="2"/>
      <x:c r="H2" s="2"/>
      <x:c r="I2" s="2"/>
      <x:c r="J2" s="2"/>
      <x:c r="K2" s="2"/>
      <x:c r="L2" s="2"/>
      <x:c r="M2" s="2"/>
      <x:c r="N2" s="2"/>
      <x:c r="O2" s="2"/>
    </x:row>
    <x:row r="3" ht="22" customHeight="1">
      <x:c r="A3" s="4"/>
      <x:c r="B3" s="4"/>
      <x:c r="C3" s="4"/>
      <x:c r="D3" s="4"/>
      <x:c r="E3" s="4"/>
      <x:c r="F3" s="4"/>
      <x:c r="G3" s="4"/>
      <x:c r="H3" s="4"/>
      <x:c r="I3" s="4"/>
      <x:c r="J3" s="4"/>
      <x:c r="K3" s="4"/>
      <x:c r="L3" s="4"/>
      <x:c r="M3" s="4"/>
      <x:c r="N3" s="4"/>
      <x:c r="O3" s="4"/>
    </x:row>
    <x:row r="4" ht="22" customHeight="1">
      <x:c r="A4" s="2" t="str">
        <x:v>Fixed selections from the finalized approximate run. Prices, contribution and lot valuations are visible below.</x:v>
      </x:c>
      <x:c r="B4" s="2"/>
      <x:c r="C4" s="2"/>
      <x:c r="D4" s="2"/>
      <x:c r="E4" s="2"/>
      <x:c r="F4" s="2"/>
      <x:c r="G4" s="2"/>
      <x:c r="H4" s="2"/>
      <x:c r="I4" s="2"/>
      <x:c r="J4" s="2"/>
      <x:c r="K4" s="2"/>
      <x:c r="L4" s="2"/>
      <x:c r="M4" s="2"/>
      <x:c r="N4" s="2"/>
      <x:c r="O4" s="2"/>
    </x:row>
    <x:row r="5" ht="22" customHeight="1">
      <x:c r="A5" s="2"/>
      <x:c r="B5" s="2"/>
      <x:c r="C5" s="2"/>
      <x:c r="D5" s="2"/>
      <x:c r="E5" s="2"/>
      <x:c r="F5" s="2"/>
      <x:c r="G5" s="2"/>
      <x:c r="H5" s="2"/>
      <x:c r="I5" s="2"/>
      <x:c r="J5" s="2"/>
      <x:c r="K5" s="2"/>
      <x:c r="L5" s="2"/>
      <x:c r="M5" s="2"/>
      <x:c r="N5" s="2"/>
      <x:c r="O5" s="2"/>
    </x:row>
    <x:row r="6" ht="30" customHeight="1">
      <x:c r="A6" s="13" t="str">
        <x:v>Buy date</x:v>
      </x:c>
      <x:c r="B6" s="13" t="str">
        <x:v>Signal date</x:v>
      </x:c>
      <x:c r="C6" s="13" t="str">
        <x:v>Stock</x:v>
      </x:c>
      <x:c r="D6" s="13" t="str">
        <x:v>Prior month return</x:v>
      </x:c>
      <x:c r="E6" s="13" t="str">
        <x:v>Entry adj. open</x:v>
      </x:c>
      <x:c r="F6" s="13" t="str">
        <x:v>Final adj. close</x:v>
      </x:c>
      <x:c r="G6" s="13" t="str">
        <x:v>Contribution</x:v>
      </x:c>
      <x:c r="H6" s="13" t="str">
        <x:v>Adjusted units</x:v>
      </x:c>
      <x:c r="I6" s="13" t="str">
        <x:v>Final marked value</x:v>
      </x:c>
      <x:c r="J6" s="13" t="str">
        <x:v>SPY entry</x:v>
      </x:c>
      <x:c r="K6" s="13" t="str">
        <x:v>SPY final price</x:v>
      </x:c>
      <x:c r="L6" s="13" t="str">
        <x:v>SPY final value</x:v>
      </x:c>
      <x:c r="M6" s="13" t="str">
        <x:v>Valuation status</x:v>
      </x:c>
      <x:c r="N6" s="13" t="str">
        <x:v>Final quote date</x:v>
      </x:c>
      <x:c r="O6" s="13" t="str">
        <x:v>Difference vs SPY</x:v>
      </x:c>
    </x:row>
    <x:row r="7" ht="22" customHeight="1">
      <x:c r="A7" s="8" t="d">
        <x:v>1998-01-02T00:00:00.000Z</x:v>
      </x:c>
      <x:c r="B7" s="8" t="d">
        <x:v>1997-12-31T00:00:00.000Z</x:v>
      </x:c>
      <x:c r="C7" s="2" t="str">
        <x:v>CINF</x:v>
      </x:c>
      <x:c r="D7" s="9" t="n">
        <x:v>0.3917773117</x:v>
      </x:c>
      <x:c r="E7" s="10" t="n">
        <x:v>17.0867532899</x:v>
      </x:c>
      <x:c r="F7" s="10" t="n">
        <x:v>163.38999939</x:v>
      </x:c>
      <x:c r="G7" s="11" t="n">
        <x:f>'Summary'!$C$18</x:f>
        <x:v>1000</x:v>
      </x:c>
      <x:c r="H7" s="12" t="n">
        <x:f>G7/E7</x:f>
        <x:v>58.52486912133865</x:v>
      </x:c>
      <x:c r="I7" s="11" t="n">
        <x:f>H7*F7</x:f>
        <x:v>9562.378330035352</x:v>
      </x:c>
      <x:c r="J7" s="10" t="n">
        <x:v>59.4079975246</x:v>
      </x:c>
      <x:c r="K7" s="10" t="n">
        <x:v>778.570007324</x:v>
      </x:c>
      <x:c r="L7" s="11" t="n">
        <x:f>G7*K7/J7</x:f>
        <x:v>13105.474679593524</x:v>
      </x:c>
      <x:c r="M7" s="2" t="str">
        <x:v>current price</x:v>
      </x:c>
      <x:c r="N7" s="8" t="d">
        <x:v>2026-10-09T00:00:00.000Z</x:v>
      </x:c>
      <x:c r="O7" s="11" t="n">
        <x:f>I7-L7</x:f>
        <x:v>-3543.0963495581727</x:v>
      </x:c>
    </x:row>
    <x:row r="8" ht="22" customHeight="1">
      <x:c r="A8" s="8" t="d">
        <x:v>1998-02-02T00:00:00.000Z</x:v>
      </x:c>
      <x:c r="B8" s="8" t="d">
        <x:v>1998-01-30T00:00:00.000Z</x:v>
      </x:c>
      <x:c r="C8" s="2" t="str">
        <x:v>AAPL</x:v>
      </x:c>
      <x:c r="D8" s="9" t="n">
        <x:v>0.3952282282</x:v>
      </x:c>
      <x:c r="E8" s="10" t="n">
        <x:v>0.138332397</x:v>
      </x:c>
      <x:c r="F8" s="10" t="n">
        <x:v>336.640014648</x:v>
      </x:c>
      <x:c r="G8" s="11" t="n">
        <x:f>'Summary'!$C$18</x:f>
        <x:v>1000</x:v>
      </x:c>
      <x:c r="H8" s="12" t="n">
        <x:f>G8/E8</x:f>
        <x:v>7228.964593160343</x:v>
      </x:c>
      <x:c r="I8" s="11" t="n">
        <x:f>H8*F8</x:f>
        <x:v>2433558.746531371</x:v>
      </x:c>
      <x:c r="J8" s="10" t="n">
        <x:v>60.9914476834</x:v>
      </x:c>
      <x:c r="K8" s="10" t="n">
        <x:v>778.570007324</x:v>
      </x:c>
      <x:c r="L8" s="11" t="n">
        <x:f>G8*K8/J8</x:f>
        <x:v>12765.232453006734</x:v>
      </x:c>
      <x:c r="M8" s="2" t="str">
        <x:v>current price</x:v>
      </x:c>
      <x:c r="N8" s="8" t="d">
        <x:v>2026-10-09T00:00:00.000Z</x:v>
      </x:c>
      <x:c r="O8" s="11" t="n">
        <x:f>I8-L8</x:f>
        <x:v>2420793.5140783642</x:v>
      </x:c>
    </x:row>
    <x:row r="9" ht="22" customHeight="1">
      <x:c r="A9" s="8" t="d">
        <x:v>1998-03-02T00:00:00.000Z</x:v>
      </x:c>
      <x:c r="B9" s="8" t="d">
        <x:v>1998-02-27T00:00:00.000Z</x:v>
      </x:c>
      <x:c r="C9" s="2" t="str">
        <x:v>DELL-201310</x:v>
      </x:c>
      <x:c r="D9" s="9" t="n">
        <x:v>0.4066773934</x:v>
      </x:c>
      <x:c r="E9" s="10" t="n">
        <x:v>17.71875</x:v>
      </x:c>
      <x:c r="F9" s="10" t="n">
        <x:v>0</x:v>
      </x:c>
      <x:c r="G9" s="11" t="n">
        <x:f>'Summary'!$C$18</x:f>
        <x:v>1000</x:v>
      </x:c>
      <x:c r="H9" s="12" t="n">
        <x:f>G9/E9</x:f>
        <x:v>56.4373897707231</x:v>
      </x:c>
      <x:c r="I9" s="11" t="n">
        <x:f>H9*F9</x:f>
        <x:v>0</x:v>
      </x:c>
      <x:c r="J9" s="10" t="n">
        <x:v>64.2537365649</x:v>
      </x:c>
      <x:c r="K9" s="10" t="n">
        <x:v>778.570007324</x:v>
      </x:c>
      <x:c r="L9" s="11" t="n">
        <x:f>G9*K9/J9</x:f>
        <x:v>12117.116434739935</x:v>
      </x:c>
      <x:c r="M9" s="2" t="str">
        <x:v>written off ($0 rule)</x:v>
      </x:c>
      <x:c r="N9" s="8" t="d">
        <x:v>2013-10-29T00:00:00.000Z</x:v>
      </x:c>
      <x:c r="O9" s="11" t="n">
        <x:f>I9-L9</x:f>
        <x:v>-12117.116434739935</x:v>
      </x:c>
    </x:row>
    <x:row r="10" ht="22" customHeight="1">
      <x:c r="A10" s="8" t="d">
        <x:v>1998-04-01T00:00:00.000Z</x:v>
      </x:c>
      <x:c r="B10" s="8" t="d">
        <x:v>1998-03-31T00:00:00.000Z</x:v>
      </x:c>
      <x:c r="C10" s="2" t="str">
        <x:v>FCX</x:v>
      </x:c>
      <x:c r="D10" s="9" t="n">
        <x:v>0.3236514523</x:v>
      </x:c>
      <x:c r="E10" s="10" t="n">
        <x:v>5.6333530055</x:v>
      </x:c>
      <x:c r="F10" s="10" t="n">
        <x:v>73.6900024414</x:v>
      </x:c>
      <x:c r="G10" s="11" t="n">
        <x:f>'Summary'!$C$18</x:f>
        <x:v>1000</x:v>
      </x:c>
      <x:c r="H10" s="12" t="n">
        <x:f>G10/E10</x:f>
        <x:v>177.5141730020597</x:v>
      </x:c>
      <x:c r="I10" s="11" t="n">
        <x:f>H10*F10</x:f>
        <x:v>13081.019841904881</x:v>
      </x:c>
      <x:c r="J10" s="10" t="n">
        <x:v>67.5378211162</x:v>
      </x:c>
      <x:c r="K10" s="10" t="n">
        <x:v>778.570007324</x:v>
      </x:c>
      <x:c r="L10" s="11" t="n">
        <x:f>G10*K10/J10</x:f>
        <x:v>11527.911242272039</x:v>
      </x:c>
      <x:c r="M10" s="2" t="str">
        <x:v>current price</x:v>
      </x:c>
      <x:c r="N10" s="8" t="d">
        <x:v>2026-10-09T00:00:00.000Z</x:v>
      </x:c>
      <x:c r="O10" s="11" t="n">
        <x:f>I10-L10</x:f>
        <x:v>1553.108599632842</x:v>
      </x:c>
    </x:row>
    <x:row r="11" ht="22" customHeight="1">
      <x:c r="A11" s="8" t="d">
        <x:v>1998-05-01T00:00:00.000Z</x:v>
      </x:c>
      <x:c r="B11" s="8" t="d">
        <x:v>1998-04-30T00:00:00.000Z</x:v>
      </x:c>
      <x:c r="C11" s="2" t="str">
        <x:v>NC</x:v>
      </x:c>
      <x:c r="D11" s="9" t="n">
        <x:v>0.255130582</x:v>
      </x:c>
      <x:c r="E11" s="10" t="n">
        <x:v>6.4014529941</x:v>
      </x:c>
      <x:c r="F11" s="10" t="n">
        <x:v>35.5699996948</x:v>
      </x:c>
      <x:c r="G11" s="11" t="n">
        <x:f>'Summary'!$C$18</x:f>
        <x:v>1000</x:v>
      </x:c>
      <x:c r="H11" s="12" t="n">
        <x:f>G11/E11</x:f>
        <x:v>156.2145345629603</x:v>
      </x:c>
      <x:c r="I11" s="11" t="n">
        <x:f>H11*F11</x:f>
        <x:v>5556.5509467278225</x:v>
      </x:c>
      <x:c r="J11" s="10" t="n">
        <x:v>68.4179173687</x:v>
      </x:c>
      <x:c r="K11" s="10" t="n">
        <x:v>778.570007324</x:v>
      </x:c>
      <x:c r="L11" s="11" t="n">
        <x:f>G11*K11/J11</x:f>
        <x:v>11379.621556270611</x:v>
      </x:c>
      <x:c r="M11" s="2" t="str">
        <x:v>current price</x:v>
      </x:c>
      <x:c r="N11" s="8" t="d">
        <x:v>2026-10-09T00:00:00.000Z</x:v>
      </x:c>
      <x:c r="O11" s="11" t="n">
        <x:f>I11-L11</x:f>
        <x:v>-5823.070609542789</x:v>
      </x:c>
    </x:row>
    <x:row r="12" ht="22" customHeight="1">
      <x:c r="A12" s="8" t="d">
        <x:v>1998-06-01T00:00:00.000Z</x:v>
      </x:c>
      <x:c r="B12" s="8" t="d">
        <x:v>1998-05-29T00:00:00.000Z</x:v>
      </x:c>
      <x:c r="C12" s="2" t="str">
        <x:v>EXC</x:v>
      </x:c>
      <x:c r="D12" s="9" t="n">
        <x:v>0.1973110203</x:v>
      </x:c>
      <x:c r="E12" s="10" t="n">
        <x:v>3.632047404</x:v>
      </x:c>
      <x:c r="F12" s="10" t="n">
        <x:v>41.7599983215</x:v>
      </x:c>
      <x:c r="G12" s="11" t="n">
        <x:f>'Summary'!$C$18</x:f>
        <x:v>1000</x:v>
      </x:c>
      <x:c r="H12" s="12" t="n">
        <x:f>G12/E12</x:f>
        <x:v>275.3268029758347</x:v>
      </x:c>
      <x:c r="I12" s="11" t="n">
        <x:f>H12*F12</x:f>
        <x:v>11497.646830134818</x:v>
      </x:c>
      <x:c r="J12" s="10" t="n">
        <x:v>66.7151224455</x:v>
      </x:c>
      <x:c r="K12" s="10" t="n">
        <x:v>778.570007324</x:v>
      </x:c>
      <x:c r="L12" s="11" t="n">
        <x:f>G12*K12/J12</x:f>
        <x:v>11670.067876440138</x:v>
      </x:c>
      <x:c r="M12" s="2" t="str">
        <x:v>current price</x:v>
      </x:c>
      <x:c r="N12" s="8" t="d">
        <x:v>2026-10-09T00:00:00.000Z</x:v>
      </x:c>
      <x:c r="O12" s="11" t="n">
        <x:f>I12-L12</x:f>
        <x:v>-172.4210463053205</x:v>
      </x:c>
    </x:row>
    <x:row r="13" ht="22" customHeight="1">
      <x:c r="A13" s="8" t="d">
        <x:v>1998-07-01T00:00:00.000Z</x:v>
      </x:c>
      <x:c r="B13" s="8" t="d">
        <x:v>1998-06-30T00:00:00.000Z</x:v>
      </x:c>
      <x:c r="C13" s="2" t="str">
        <x:v>FITB</x:v>
      </x:c>
      <x:c r="D13" s="9" t="n">
        <x:v>0.2827923969</x:v>
      </x:c>
      <x:c r="E13" s="10" t="n">
        <x:v>18.8619872078</x:v>
      </x:c>
      <x:c r="F13" s="10" t="n">
        <x:v>50.6399993896</x:v>
      </x:c>
      <x:c r="G13" s="11" t="n">
        <x:f>'Summary'!$C$18</x:f>
        <x:v>1000</x:v>
      </x:c>
      <x:c r="H13" s="12" t="n">
        <x:f>G13/E13</x:f>
        <x:v>53.01668318312028</x:v>
      </x:c>
      <x:c r="I13" s="11" t="n">
        <x:f>H13*F13</x:f>
        <x:v>2684.7648040318277</x:v>
      </x:c>
      <x:c r="J13" s="10" t="n">
        <x:v>70.0559463436</x:v>
      </x:c>
      <x:c r="K13" s="10" t="n">
        <x:v>778.570007324</x:v>
      </x:c>
      <x:c r="L13" s="11" t="n">
        <x:f>G13*K13/J13</x:f>
        <x:v>11113.546357726516</x:v>
      </x:c>
      <x:c r="M13" s="2" t="str">
        <x:v>current price</x:v>
      </x:c>
      <x:c r="N13" s="8" t="d">
        <x:v>2026-10-09T00:00:00.000Z</x:v>
      </x:c>
      <x:c r="O13" s="11" t="n">
        <x:f>I13-L13</x:f>
        <x:v>-8428.78155369469</x:v>
      </x:c>
    </x:row>
    <x:row r="14" ht="22" customHeight="1">
      <x:c r="A14" s="8" t="d">
        <x:v>1998-08-03T00:00:00.000Z</x:v>
      </x:c>
      <x:c r="B14" s="8" t="d">
        <x:v>1998-07-31T00:00:00.000Z</x:v>
      </x:c>
      <x:c r="C14" s="2" t="str">
        <x:v>MU</x:v>
      </x:c>
      <x:c r="D14" s="9" t="n">
        <x:v>0.3425692695</x:v>
      </x:c>
      <x:c r="E14" s="10" t="n">
        <x:v>16.2421300039</x:v>
      </x:c>
      <x:c r="F14" s="10" t="n">
        <x:v>1029</x:v>
      </x:c>
      <x:c r="G14" s="11" t="n">
        <x:f>'Summary'!$C$18</x:f>
        <x:v>1000</x:v>
      </x:c>
      <x:c r="H14" s="12" t="n">
        <x:f>G14/E14</x:f>
        <x:v>61.56827951505644</x:v>
      </x:c>
      <x:c r="I14" s="11" t="n">
        <x:f>H14*F14</x:f>
        <x:v>63353.75962099308</x:v>
      </x:c>
      <x:c r="J14" s="10" t="n">
        <x:v>68.6548274167</x:v>
      </x:c>
      <x:c r="K14" s="10" t="n">
        <x:v>778.570007324</x:v>
      </x:c>
      <x:c r="L14" s="11" t="n">
        <x:f>G14*K14/J14</x:f>
        <x:v>11340.353426256172</x:v>
      </x:c>
      <x:c r="M14" s="2" t="str">
        <x:v>current price</x:v>
      </x:c>
      <x:c r="N14" s="8" t="d">
        <x:v>2026-10-09T00:00:00.000Z</x:v>
      </x:c>
      <x:c r="O14" s="11" t="n">
        <x:f>I14-L14</x:f>
        <x:v>52013.406194736905</x:v>
      </x:c>
    </x:row>
    <x:row r="15" ht="22" customHeight="1">
      <x:c r="A15" s="8" t="d">
        <x:v>1998-09-01T00:00:00.000Z</x:v>
      </x:c>
      <x:c r="B15" s="8" t="d">
        <x:v>1998-08-31T00:00:00.000Z</x:v>
      </x:c>
      <x:c r="C15" s="2" t="str">
        <x:v>EXC</x:v>
      </x:c>
      <x:c r="D15" s="9" t="n">
        <x:v>0.1531478403</x:v>
      </x:c>
      <x:c r="E15" s="10" t="n">
        <x:v>4.4581993001</x:v>
      </x:c>
      <x:c r="F15" s="10" t="n">
        <x:v>41.7599983215</x:v>
      </x:c>
      <x:c r="G15" s="11" t="n">
        <x:f>'Summary'!$C$18</x:f>
        <x:v>1000</x:v>
      </x:c>
      <x:c r="H15" s="12" t="n">
        <x:f>G15/E15</x:f>
        <x:v>224.3058088447435</x:v>
      </x:c>
      <x:c r="I15" s="11" t="n">
        <x:f>H15*F15</x:f>
        <x:v>9367.010200859188</x:v>
      </x:c>
      <x:c r="J15" s="10" t="n">
        <x:v>59.0005422083</x:v>
      </x:c>
      <x:c r="K15" s="10" t="n">
        <x:v>778.570007324</x:v>
      </x:c>
      <x:c r="L15" s="11" t="n">
        <x:f>G15*K15/J15</x:f>
        <x:v>13195.980548369831</x:v>
      </x:c>
      <x:c r="M15" s="2" t="str">
        <x:v>current price</x:v>
      </x:c>
      <x:c r="N15" s="8" t="d">
        <x:v>2026-10-09T00:00:00.000Z</x:v>
      </x:c>
      <x:c r="O15" s="11" t="n">
        <x:f>I15-L15</x:f>
        <x:v>-3828.9703475106435</x:v>
      </x:c>
    </x:row>
    <x:row r="16" ht="22" customHeight="1">
      <x:c r="A16" s="8" t="d">
        <x:v>1998-10-01T00:00:00.000Z</x:v>
      </x:c>
      <x:c r="B16" s="8" t="d">
        <x:v>1998-09-30T00:00:00.000Z</x:v>
      </x:c>
      <x:c r="C16" s="2" t="str">
        <x:v>NEM</x:v>
      </x:c>
      <x:c r="D16" s="9" t="n">
        <x:v>0.7716894977</x:v>
      </x:c>
      <x:c r="E16" s="10" t="n">
        <x:v>16.5051588501</x:v>
      </x:c>
      <x:c r="F16" s="10" t="n">
        <x:v>117.839996338</x:v>
      </x:c>
      <x:c r="G16" s="11" t="n">
        <x:f>'Summary'!$C$18</x:f>
        <x:v>1000</x:v>
      </x:c>
      <x:c r="H16" s="12" t="n">
        <x:f>G16/E16</x:f>
        <x:v>60.58711758438734</x:v>
      </x:c>
      <x:c r="I16" s="11" t="n">
        <x:f>H16*F16</x:f>
        <x:v>7139.585714274181</x:v>
      </x:c>
      <x:c r="J16" s="10" t="n">
        <x:v>61.6551070712</x:v>
      </x:c>
      <x:c r="K16" s="10" t="n">
        <x:v>778.570007324</x:v>
      </x:c>
      <x:c r="L16" s="11" t="n">
        <x:f>G16*K16/J16</x:f>
        <x:v>12627.826700955993</x:v>
      </x:c>
      <x:c r="M16" s="2" t="str">
        <x:v>current price</x:v>
      </x:c>
      <x:c r="N16" s="8" t="d">
        <x:v>2026-10-09T00:00:00.000Z</x:v>
      </x:c>
      <x:c r="O16" s="11" t="n">
        <x:f>I16-L16</x:f>
        <x:v>-5488.2409866818125</x:v>
      </x:c>
    </x:row>
    <x:row r="17" ht="22" customHeight="1">
      <x:c r="A17" s="8" t="d">
        <x:v>1998-11-02T00:00:00.000Z</x:v>
      </x:c>
      <x:c r="B17" s="8" t="d">
        <x:v>1998-10-30T00:00:00.000Z</x:v>
      </x:c>
      <x:c r="C17" s="2" t="str">
        <x:v>PTC</x:v>
      </x:c>
      <x:c r="D17" s="9" t="n">
        <x:v>0.652173913</x:v>
      </x:c>
      <x:c r="E17" s="10" t="n">
        <x:v>42.8125</x:v>
      </x:c>
      <x:c r="F17" s="10" t="n">
        <x:v>194.449996948</x:v>
      </x:c>
      <x:c r="G17" s="11" t="n">
        <x:f>'Summary'!$C$18</x:f>
        <x:v>1000</x:v>
      </x:c>
      <x:c r="H17" s="12" t="n">
        <x:f>G17/E17</x:f>
        <x:v>23.357664233576642</x:v>
      </x:c>
      <x:c r="I17" s="11" t="n">
        <x:f>H17*F17</x:f>
        <x:v>4541.897738931387</x:v>
      </x:c>
      <x:c r="J17" s="10" t="n">
        <x:v>68.300221704</x:v>
      </x:c>
      <x:c r="K17" s="10" t="n">
        <x:v>778.570007324</x:v>
      </x:c>
      <x:c r="L17" s="11" t="n">
        <x:f>G17*K17/J17</x:f>
        <x:v>11399.231040539991</x:v>
      </x:c>
      <x:c r="M17" s="2" t="str">
        <x:v>current price</x:v>
      </x:c>
      <x:c r="N17" s="8" t="d">
        <x:v>2026-10-09T00:00:00.000Z</x:v>
      </x:c>
      <x:c r="O17" s="11" t="n">
        <x:f>I17-L17</x:f>
        <x:v>-6857.333301608604</x:v>
      </x:c>
    </x:row>
    <x:row r="18" ht="22" customHeight="1">
      <x:c r="A18" s="8" t="d">
        <x:v>1998-12-01T00:00:00.000Z</x:v>
      </x:c>
      <x:c r="B18" s="8" t="d">
        <x:v>1998-11-30T00:00:00.000Z</x:v>
      </x:c>
      <x:c r="C18" s="2" t="str">
        <x:v>CAR</x:v>
      </x:c>
      <x:c r="D18" s="9" t="n">
        <x:v>0.6612022342</x:v>
      </x:c>
      <x:c r="E18" s="10" t="n">
        <x:v>26.4400559781</x:v>
      </x:c>
      <x:c r="F18" s="10" t="n">
        <x:v>105.980003357</x:v>
      </x:c>
      <x:c r="G18" s="11" t="n">
        <x:f>'Summary'!$C$18</x:f>
        <x:v>1000</x:v>
      </x:c>
      <x:c r="H18" s="12" t="n">
        <x:f>G18/E18</x:f>
        <x:v>37.82140252760012</x:v>
      </x:c>
      <x:c r="I18" s="11" t="n">
        <x:f>H18*F18</x:f>
        <x:v>4008.312366841509</x:v>
      </x:c>
      <x:c r="J18" s="10" t="n">
        <x:v>71.5746260159</x:v>
      </x:c>
      <x:c r="K18" s="10" t="n">
        <x:v>778.570007324</x:v>
      </x:c>
      <x:c r="L18" s="11" t="n">
        <x:f>G18*K18/J18</x:f>
        <x:v>10877.737693677142</x:v>
      </x:c>
      <x:c r="M18" s="2" t="str">
        <x:v>current price</x:v>
      </x:c>
      <x:c r="N18" s="8" t="d">
        <x:v>2026-10-09T00:00:00.000Z</x:v>
      </x:c>
      <x:c r="O18" s="11" t="n">
        <x:f>I18-L18</x:f>
        <x:v>-6869.425326835632</x:v>
      </x:c>
    </x:row>
    <x:row r="19" ht="22" customHeight="1">
      <x:c r="A19" s="8" t="d">
        <x:v>1999-01-04T00:00:00.000Z</x:v>
      </x:c>
      <x:c r="B19" s="8" t="d">
        <x:v>1998-12-31T00:00:00.000Z</x:v>
      </x:c>
      <x:c r="C19" s="2" t="str">
        <x:v>SCHW</x:v>
      </x:c>
      <x:c r="D19" s="9" t="n">
        <x:v>0.4950112006</x:v>
      </x:c>
      <x:c r="E19" s="10" t="n">
        <x:v>13.436559545</x:v>
      </x:c>
      <x:c r="F19" s="10" t="n">
        <x:v>96.6999969482</x:v>
      </x:c>
      <x:c r="G19" s="11" t="n">
        <x:f>'Summary'!$C$18</x:f>
        <x:v>1000</x:v>
      </x:c>
      <x:c r="H19" s="12" t="n">
        <x:f>G19/E19</x:f>
        <x:v>74.42381337655138</x:v>
      </x:c>
      <x:c r="I19" s="11" t="n">
        <x:f>H19*F19</x:f>
        <x:v>7196.782526385924</x:v>
      </x:c>
      <x:c r="J19" s="10" t="n">
        <x:v>76.2958459557</x:v>
      </x:c>
      <x:c r="K19" s="10" t="n">
        <x:v>778.570007324</x:v>
      </x:c>
      <x:c r="L19" s="11" t="n">
        <x:f>G19*K19/J19</x:f>
        <x:v>10204.618581410901</x:v>
      </x:c>
      <x:c r="M19" s="2" t="str">
        <x:v>current price</x:v>
      </x:c>
      <x:c r="N19" s="8" t="d">
        <x:v>2026-10-09T00:00:00.000Z</x:v>
      </x:c>
      <x:c r="O19" s="11" t="n">
        <x:f>I19-L19</x:f>
        <x:v>-3007.836055024977</x:v>
      </x:c>
    </x:row>
    <x:row r="20" ht="22" customHeight="1">
      <x:c r="A20" s="8" t="d">
        <x:v>1999-02-01T00:00:00.000Z</x:v>
      </x:c>
      <x:c r="B20" s="8" t="d">
        <x:v>1999-01-29T00:00:00.000Z</x:v>
      </x:c>
      <x:c r="C20" s="2" t="str">
        <x:v>MU</x:v>
      </x:c>
      <x:c r="D20" s="9" t="n">
        <x:v>0.542645241</x:v>
      </x:c>
      <x:c r="E20" s="10" t="n">
        <x:v>37.7256227858</x:v>
      </x:c>
      <x:c r="F20" s="10" t="n">
        <x:v>1029</x:v>
      </x:c>
      <x:c r="G20" s="11" t="n">
        <x:f>'Summary'!$C$18</x:f>
        <x:v>1000</x:v>
      </x:c>
      <x:c r="H20" s="12" t="n">
        <x:f>G20/E20</x:f>
        <x:v>26.507183345331068</x:v>
      </x:c>
      <x:c r="I20" s="11" t="n">
        <x:f>H20*F20</x:f>
        <x:v>27275.891662345668</x:v>
      </x:c>
      <x:c r="J20" s="10" t="n">
        <x:v>79.5811280764</x:v>
      </x:c>
      <x:c r="K20" s="10" t="n">
        <x:v>778.570007324</x:v>
      </x:c>
      <x:c r="L20" s="11" t="n">
        <x:f>G20*K20/J20</x:f>
        <x:v>9783.349723021669</x:v>
      </x:c>
      <x:c r="M20" s="2" t="str">
        <x:v>current price</x:v>
      </x:c>
      <x:c r="N20" s="8" t="d">
        <x:v>2026-10-09T00:00:00.000Z</x:v>
      </x:c>
      <x:c r="O20" s="11" t="n">
        <x:f>I20-L20</x:f>
        <x:v>17492.541939324</x:v>
      </x:c>
    </x:row>
    <x:row r="21" ht="22" customHeight="1">
      <x:c r="A21" s="8" t="d">
        <x:v>1999-03-01T00:00:00.000Z</x:v>
      </x:c>
      <x:c r="B21" s="8" t="d">
        <x:v>1999-02-26T00:00:00.000Z</x:v>
      </x:c>
      <x:c r="C21" s="2" t="str">
        <x:v>BIG</x:v>
      </x:c>
      <x:c r="D21" s="9" t="n">
        <x:v>0.5092869982</x:v>
      </x:c>
      <x:c r="E21" s="10" t="n">
        <x:v>23.4396784019</x:v>
      </x:c>
      <x:c r="F21" s="10" t="n">
        <x:v>0</x:v>
      </x:c>
      <x:c r="G21" s="11" t="n">
        <x:f>'Summary'!$C$18</x:f>
        <x:v>1000</x:v>
      </x:c>
      <x:c r="H21" s="12" t="n">
        <x:f>G21/E21</x:f>
        <x:v>42.66270137558461</x:v>
      </x:c>
      <x:c r="I21" s="11" t="n">
        <x:f>H21*F21</x:f>
        <x:v>0</x:v>
      </x:c>
      <x:c r="J21" s="10" t="n">
        <x:v>76.4697726562</x:v>
      </x:c>
      <x:c r="K21" s="10" t="n">
        <x:v>778.570007324</x:v>
      </x:c>
      <x:c r="L21" s="11" t="n">
        <x:f>G21*K21/J21</x:f>
        <x:v>10181.408683197846</x:v>
      </x:c>
      <x:c r="M21" s="2" t="str">
        <x:v>written off ($0 rule)</x:v>
      </x:c>
      <x:c r="N21" s="8" t="d">
        <x:v>2018-03-27T00:00:00.000Z</x:v>
      </x:c>
      <x:c r="O21" s="11" t="n">
        <x:f>I21-L21</x:f>
        <x:v>-10181.408683197846</x:v>
      </x:c>
    </x:row>
    <x:row r="22" ht="22" customHeight="1">
      <x:c r="A22" s="8" t="d">
        <x:v>1999-04-01T00:00:00.000Z</x:v>
      </x:c>
      <x:c r="B22" s="8" t="d">
        <x:v>1999-03-31T00:00:00.000Z</x:v>
      </x:c>
      <x:c r="C22" s="2" t="str">
        <x:v>TWX-201806</x:v>
      </x:c>
      <x:c r="D22" s="9" t="n">
        <x:v>0.6527996402</x:v>
      </x:c>
      <x:c r="E22" s="10" t="n">
        <x:v>158.0062868525</x:v>
      </x:c>
      <x:c r="F22" s="10" t="n">
        <x:v>0</x:v>
      </x:c>
      <x:c r="G22" s="11" t="n">
        <x:f>'Summary'!$C$18</x:f>
        <x:v>1000</x:v>
      </x:c>
      <x:c r="H22" s="12" t="n">
        <x:f>G22/E22</x:f>
        <x:v>6.328862097325957</x:v>
      </x:c>
      <x:c r="I22" s="11" t="n">
        <x:f>H22*F22</x:f>
        <x:v>0</x:v>
      </x:c>
      <x:c r="J22" s="10" t="n">
        <x:v>80.3940603935</x:v>
      </x:c>
      <x:c r="K22" s="10" t="n">
        <x:v>778.570007324</x:v>
      </x:c>
      <x:c r="L22" s="11" t="n">
        <x:f>G22*K22/J22</x:f>
        <x:v>9684.42200223723</x:v>
      </x:c>
      <x:c r="M22" s="2" t="str">
        <x:v>written off ($0 rule)</x:v>
      </x:c>
      <x:c r="N22" s="8" t="d">
        <x:v>2018-06-14T00:00:00.000Z</x:v>
      </x:c>
      <x:c r="O22" s="11" t="n">
        <x:f>I22-L22</x:f>
        <x:v>-9684.42200223723</x:v>
      </x:c>
    </x:row>
    <x:row r="23" ht="22" customHeight="1">
      <x:c r="A23" s="8" t="d">
        <x:v>1999-05-03T00:00:00.000Z</x:v>
      </x:c>
      <x:c r="B23" s="8" t="d">
        <x:v>1999-04-30T00:00:00.000Z</x:v>
      </x:c>
      <x:c r="C23" s="2" t="str">
        <x:v>HWM</x:v>
      </x:c>
      <x:c r="D23" s="9" t="n">
        <x:v>0.5113808869</x:v>
      </x:c>
      <x:c r="E23" s="10" t="n">
        <x:v>41.822072267</x:v>
      </x:c>
      <x:c r="F23" s="10" t="n">
        <x:v>225.259994507</x:v>
      </x:c>
      <x:c r="G23" s="11" t="n">
        <x:f>'Summary'!$C$18</x:f>
        <x:v>1000</x:v>
      </x:c>
      <x:c r="H23" s="12" t="n">
        <x:f>G23/E23</x:f>
        <x:v>23.910818995668393</x:v>
      </x:c>
      <x:c r="I23" s="11" t="n">
        <x:f>H23*F23</x:f>
        <x:v>5386.150955622134</x:v>
      </x:c>
      <x:c r="J23" s="10" t="n">
        <x:v>82.718707923</x:v>
      </x:c>
      <x:c r="K23" s="10" t="n">
        <x:v>778.570007324</x:v>
      </x:c>
      <x:c r="L23" s="11" t="n">
        <x:f>G23*K23/J23</x:f>
        <x:v>9412.260259779978</x:v>
      </x:c>
      <x:c r="M23" s="2" t="str">
        <x:v>current price</x:v>
      </x:c>
      <x:c r="N23" s="8" t="d">
        <x:v>2026-10-09T00:00:00.000Z</x:v>
      </x:c>
      <x:c r="O23" s="11" t="n">
        <x:f>I23-L23</x:f>
        <x:v>-4026.1093041578442</x:v>
      </x:c>
    </x:row>
    <x:row r="24" ht="22" customHeight="1">
      <x:c r="A24" s="8" t="d">
        <x:v>1999-06-01T00:00:00.000Z</x:v>
      </x:c>
      <x:c r="B24" s="8" t="d">
        <x:v>1999-05-28T00:00:00.000Z</x:v>
      </x:c>
      <x:c r="C24" s="2" t="str">
        <x:v>PBY-201602</x:v>
      </x:c>
      <x:c r="D24" s="9" t="n">
        <x:v>0.3129346314</x:v>
      </x:c>
      <x:c r="E24" s="10" t="n">
        <x:v>13.7766960352</x:v>
      </x:c>
      <x:c r="F24" s="10" t="n">
        <x:v>0</x:v>
      </x:c>
      <x:c r="G24" s="11" t="n">
        <x:f>'Summary'!$C$18</x:f>
        <x:v>1000</x:v>
      </x:c>
      <x:c r="H24" s="12" t="n">
        <x:f>G24/E24</x:f>
        <x:v>72.58634417460911</x:v>
      </x:c>
      <x:c r="I24" s="11" t="n">
        <x:f>H24*F24</x:f>
        <x:v>0</x:v>
      </x:c>
      <x:c r="J24" s="10" t="n">
        <x:v>80.6652692719</x:v>
      </x:c>
      <x:c r="K24" s="10" t="n">
        <x:v>778.570007324</x:v>
      </x:c>
      <x:c r="L24" s="11" t="n">
        <x:f>G24*K24/J24</x:f>
        <x:v>9651.861505596155</x:v>
      </x:c>
      <x:c r="M24" s="2" t="str">
        <x:v>written off ($0 rule)</x:v>
      </x:c>
      <x:c r="N24" s="8" t="d">
        <x:v>2016-02-03T00:00:00.000Z</x:v>
      </x:c>
      <x:c r="O24" s="11" t="n">
        <x:f>I24-L24</x:f>
        <x:v>-9651.861505596155</x:v>
      </x:c>
    </x:row>
    <x:row r="25" ht="22" customHeight="1">
      <x:c r="A25" s="8" t="d">
        <x:v>1999-07-01T00:00:00.000Z</x:v>
      </x:c>
      <x:c r="B25" s="8" t="d">
        <x:v>1999-06-30T00:00:00.000Z</x:v>
      </x:c>
      <x:c r="C25" s="2" t="str">
        <x:v>ORCL</x:v>
      </x:c>
      <x:c r="D25" s="9" t="n">
        <x:v>0.4962216625</x:v>
      </x:c>
      <x:c r="E25" s="10" t="n">
        <x:v>7.2926645072</x:v>
      </x:c>
      <x:c r="F25" s="10" t="n">
        <x:v>141.399993896</x:v>
      </x:c>
      <x:c r="G25" s="11" t="n">
        <x:f>'Summary'!$C$18</x:f>
        <x:v>1000</x:v>
      </x:c>
      <x:c r="H25" s="12" t="n">
        <x:f>G25/E25</x:f>
        <x:v>137.12409216311906</x:v>
      </x:c>
      <x:c r="I25" s="11" t="n">
        <x:f>H25*F25</x:f>
        <x:v>19389.34579485958</x:v>
      </x:c>
      <x:c r="J25" s="10" t="n">
        <x:v>85.1835044549</x:v>
      </x:c>
      <x:c r="K25" s="10" t="n">
        <x:v>778.570007324</x:v>
      </x:c>
      <x:c r="L25" s="11" t="n">
        <x:f>G25*K25/J25</x:f>
        <x:v>9139.915201965072</x:v>
      </x:c>
      <x:c r="M25" s="2" t="str">
        <x:v>current price</x:v>
      </x:c>
      <x:c r="N25" s="8" t="d">
        <x:v>2026-10-09T00:00:00.000Z</x:v>
      </x:c>
      <x:c r="O25" s="11" t="n">
        <x:f>I25-L25</x:f>
        <x:v>10249.430592894507</x:v>
      </x:c>
    </x:row>
    <x:row r="26" ht="22" customHeight="1">
      <x:c r="A26" s="8" t="d">
        <x:v>1999-08-02T00:00:00.000Z</x:v>
      </x:c>
      <x:c r="B26" s="8" t="d">
        <x:v>1999-07-30T00:00:00.000Z</x:v>
      </x:c>
      <x:c r="C26" s="2" t="str">
        <x:v>MU</x:v>
      </x:c>
      <x:c r="D26" s="9" t="n">
        <x:v>0.5216049383</x:v>
      </x:c>
      <x:c r="E26" s="10" t="n">
        <x:v>30.4120933281</x:v>
      </x:c>
      <x:c r="F26" s="10" t="n">
        <x:v>1029</x:v>
      </x:c>
      <x:c r="G26" s="11" t="n">
        <x:f>'Summary'!$C$18</x:f>
        <x:v>1000</x:v>
      </x:c>
      <x:c r="H26" s="12" t="n">
        <x:f>G26/E26</x:f>
        <x:v>32.88165629414354</x:v>
      </x:c>
      <x:c r="I26" s="11" t="n">
        <x:f>H26*F26</x:f>
        <x:v>33835.2243266737</x:v>
      </x:c>
      <x:c r="J26" s="10" t="n">
        <x:v>82.5409504846</x:v>
      </x:c>
      <x:c r="K26" s="10" t="n">
        <x:v>778.570007324</x:v>
      </x:c>
      <x:c r="L26" s="11" t="n">
        <x:f>G26*K26/J26</x:f>
        <x:v>9432.53018959675</x:v>
      </x:c>
      <x:c r="M26" s="2" t="str">
        <x:v>current price</x:v>
      </x:c>
      <x:c r="N26" s="8" t="d">
        <x:v>2026-10-09T00:00:00.000Z</x:v>
      </x:c>
      <x:c r="O26" s="11" t="n">
        <x:f>I26-L26</x:f>
        <x:v>24402.69413707695</x:v>
      </x:c>
    </x:row>
    <x:row r="27" ht="22" customHeight="1">
      <x:c r="A27" s="8" t="d">
        <x:v>1999-09-01T00:00:00.000Z</x:v>
      </x:c>
      <x:c r="B27" s="8" t="d">
        <x:v>1999-08-31T00:00:00.000Z</x:v>
      </x:c>
      <x:c r="C27" s="2" t="str">
        <x:v>LXK-201611</x:v>
      </x:c>
      <x:c r="D27" s="9" t="n">
        <x:v>0.25</x:v>
      </x:c>
      <x:c r="E27" s="10" t="n">
        <x:v>65.8444656209</x:v>
      </x:c>
      <x:c r="F27" s="10" t="n">
        <x:v>0</x:v>
      </x:c>
      <x:c r="G27" s="11" t="n">
        <x:f>'Summary'!$C$18</x:f>
        <x:v>1000</x:v>
      </x:c>
      <x:c r="H27" s="12" t="n">
        <x:f>G27/E27</x:f>
        <x:v>15.187305274182153</x:v>
      </x:c>
      <x:c r="I27" s="11" t="n">
        <x:f>H27*F27</x:f>
        <x:v>0</x:v>
      </x:c>
      <x:c r="J27" s="10" t="n">
        <x:v>82.657533748</x:v>
      </x:c>
      <x:c r="K27" s="10" t="n">
        <x:v>778.570007324</x:v>
      </x:c>
      <x:c r="L27" s="11" t="n">
        <x:f>G27*K27/J27</x:f>
        <x:v>9419.22619779154</x:v>
      </x:c>
      <x:c r="M27" s="2" t="str">
        <x:v>written off ($0 rule)</x:v>
      </x:c>
      <x:c r="N27" s="8" t="d">
        <x:v>2016-11-28T00:00:00.000Z</x:v>
      </x:c>
      <x:c r="O27" s="11" t="n">
        <x:f>I27-L27</x:f>
        <x:v>-9419.22619779154</x:v>
      </x:c>
    </x:row>
    <x:row r="28" ht="22" customHeight="1">
      <x:c r="A28" s="8" t="d">
        <x:v>1999-10-01T00:00:00.000Z</x:v>
      </x:c>
      <x:c r="B28" s="8" t="d">
        <x:v>1999-09-30T00:00:00.000Z</x:v>
      </x:c>
      <x:c r="C28" s="2" t="str">
        <x:v>BIG</x:v>
      </x:c>
      <x:c r="D28" s="9" t="n">
        <x:v>0.3676379417</x:v>
      </x:c>
      <x:c r="E28" s="10" t="n">
        <x:v>20.6765406913</x:v>
      </x:c>
      <x:c r="F28" s="10" t="n">
        <x:v>0</x:v>
      </x:c>
      <x:c r="G28" s="11" t="n">
        <x:f>'Summary'!$C$18</x:f>
        <x:v>1000</x:v>
      </x:c>
      <x:c r="H28" s="12" t="n">
        <x:f>G28/E28</x:f>
        <x:v>48.36398965039479</x:v>
      </x:c>
      <x:c r="I28" s="11" t="n">
        <x:f>H28*F28</x:f>
        <x:v>0</x:v>
      </x:c>
      <x:c r="J28" s="10" t="n">
        <x:v>79.7726915797</x:v>
      </x:c>
      <x:c r="K28" s="10" t="n">
        <x:v>778.570007324</x:v>
      </x:c>
      <x:c r="L28" s="11" t="n">
        <x:f>G28*K28/J28</x:f>
        <x:v>9759.856310553838</x:v>
      </x:c>
      <x:c r="M28" s="2" t="str">
        <x:v>written off ($0 rule)</x:v>
      </x:c>
      <x:c r="N28" s="8" t="d">
        <x:v>2018-03-27T00:00:00.000Z</x:v>
      </x:c>
      <x:c r="O28" s="11" t="n">
        <x:f>I28-L28</x:f>
        <x:v>-9759.856310553838</x:v>
      </x:c>
    </x:row>
    <x:row r="29" ht="22" customHeight="1">
      <x:c r="A29" s="8" t="d">
        <x:v>1999-11-01T00:00:00.000Z</x:v>
      </x:c>
      <x:c r="B29" s="8" t="d">
        <x:v>1999-10-29T00:00:00.000Z</x:v>
      </x:c>
      <x:c r="C29" s="2" t="str">
        <x:v>PTC</x:v>
      </x:c>
      <x:c r="D29" s="9" t="n">
        <x:v>0.412037037</x:v>
      </x:c>
      <x:c r="E29" s="10" t="n">
        <x:v>47.1875</x:v>
      </x:c>
      <x:c r="F29" s="10" t="n">
        <x:v>194.449996948</x:v>
      </x:c>
      <x:c r="G29" s="11" t="n">
        <x:f>'Summary'!$C$18</x:f>
        <x:v>1000</x:v>
      </x:c>
      <x:c r="H29" s="12" t="n">
        <x:f>G29/E29</x:f>
        <x:v>21.192052980132452</x:v>
      </x:c>
      <x:c r="I29" s="11" t="n">
        <x:f>H29*F29</x:f>
        <x:v>4120.79463730861</x:v>
      </x:c>
      <x:c r="J29" s="10" t="n">
        <x:v>85.1116553054</x:v>
      </x:c>
      <x:c r="K29" s="10" t="n">
        <x:v>778.570007324</x:v>
      </x:c>
      <x:c r="L29" s="11" t="n">
        <x:f>G29*K29/J29</x:f>
        <x:v>9147.630891801053</x:v>
      </x:c>
      <x:c r="M29" s="2" t="str">
        <x:v>current price</x:v>
      </x:c>
      <x:c r="N29" s="8" t="d">
        <x:v>2026-10-09T00:00:00.000Z</x:v>
      </x:c>
      <x:c r="O29" s="11" t="n">
        <x:f>I29-L29</x:f>
        <x:v>-5026.836254492443</x:v>
      </x:c>
    </x:row>
    <x:row r="30" ht="22" customHeight="1">
      <x:c r="A30" s="8" t="d">
        <x:v>1999-12-01T00:00:00.000Z</x:v>
      </x:c>
      <x:c r="B30" s="8" t="d">
        <x:v>1999-11-30T00:00:00.000Z</x:v>
      </x:c>
      <x:c r="C30" s="2" t="str">
        <x:v>QCOM</x:v>
      </x:c>
      <x:c r="D30" s="9" t="n">
        <x:v>0.6265432099</x:v>
      </x:c>
      <x:c r="E30" s="10" t="n">
        <x:v>27.7131042219</x:v>
      </x:c>
      <x:c r="F30" s="10" t="n">
        <x:v>175.5</x:v>
      </x:c>
      <x:c r="G30" s="11" t="n">
        <x:f>'Summary'!$C$18</x:f>
        <x:v>1000</x:v>
      </x:c>
      <x:c r="H30" s="12" t="n">
        <x:f>G30/E30</x:f>
        <x:v>36.08401253042451</x:v>
      </x:c>
      <x:c r="I30" s="11" t="n">
        <x:f>H30*F30</x:f>
        <x:v>6332.744199089501</x:v>
      </x:c>
      <x:c r="J30" s="10" t="n">
        <x:v>86.8653295218</x:v>
      </x:c>
      <x:c r="K30" s="10" t="n">
        <x:v>778.570007324</x:v>
      </x:c>
      <x:c r="L30" s="11" t="n">
        <x:f>G30*K30/J30</x:f>
        <x:v>8962.954628850024</x:v>
      </x:c>
      <x:c r="M30" s="2" t="str">
        <x:v>current price</x:v>
      </x:c>
      <x:c r="N30" s="8" t="d">
        <x:v>2026-10-09T00:00:00.000Z</x:v>
      </x:c>
      <x:c r="O30" s="11" t="n">
        <x:f>I30-L30</x:f>
        <x:v>-2630.210429760523</x:v>
      </x:c>
    </x:row>
    <x:row r="31" ht="22" customHeight="1">
      <x:c r="A31" s="8" t="d">
        <x:v>2000-01-03T00:00:00.000Z</x:v>
      </x:c>
      <x:c r="B31" s="8" t="d">
        <x:v>1999-12-31T00:00:00.000Z</x:v>
      </x:c>
      <x:c r="C31" s="2" t="str">
        <x:v>AABA</x:v>
      </x:c>
      <x:c r="D31" s="9" t="n">
        <x:v>1.0333646616</x:v>
      </x:c>
      <x:c r="E31" s="10" t="n">
        <x:v>30.4216976482</x:v>
      </x:c>
      <x:c r="F31" s="10" t="n">
        <x:v>0</x:v>
      </x:c>
      <x:c r="G31" s="11" t="n">
        <x:f>'Summary'!$C$18</x:f>
        <x:v>1000</x:v>
      </x:c>
      <x:c r="H31" s="12" t="n">
        <x:f>G31/E31</x:f>
        <x:v>32.87127534972291</x:v>
      </x:c>
      <x:c r="I31" s="11" t="n">
        <x:f>H31*F31</x:f>
        <x:v>0</x:v>
      </x:c>
      <x:c r="J31" s="10" t="n">
        <x:v>92.6650112796</x:v>
      </x:c>
      <x:c r="K31" s="10" t="n">
        <x:v>778.570007324</x:v>
      </x:c>
      <x:c r="L31" s="11" t="n">
        <x:f>G31*K31/J31</x:f>
        <x:v>8401.98470353395</x:v>
      </x:c>
      <x:c r="M31" s="2" t="str">
        <x:v>written off ($0 rule)</x:v>
      </x:c>
      <x:c r="N31" s="8" t="d">
        <x:v>2019-10-02T00:00:00.000Z</x:v>
      </x:c>
      <x:c r="O31" s="11" t="n">
        <x:f>I31-L31</x:f>
        <x:v>-8401.98470353395</x:v>
      </x:c>
    </x:row>
    <x:row r="32" ht="22" customHeight="1">
      <x:c r="A32" s="8" t="d">
        <x:v>2000-02-01T00:00:00.000Z</x:v>
      </x:c>
      <x:c r="B32" s="8" t="d">
        <x:v>2000-01-31T00:00:00.000Z</x:v>
      </x:c>
      <x:c r="C32" s="2" t="str">
        <x:v>MDT</x:v>
      </x:c>
      <x:c r="D32" s="9" t="n">
        <x:v>0.2570320425</x:v>
      </x:c>
      <x:c r="E32" s="10" t="n">
        <x:v>27.373520652</x:v>
      </x:c>
      <x:c r="F32" s="10" t="n">
        <x:v>88.4800033569</x:v>
      </x:c>
      <x:c r="G32" s="11" t="n">
        <x:f>'Summary'!$C$18</x:f>
        <x:v>1000</x:v>
      </x:c>
      <x:c r="H32" s="12" t="n">
        <x:f>G32/E32</x:f>
        <x:v>36.53165453991161</x:v>
      </x:c>
      <x:c r="I32" s="11" t="n">
        <x:f>H32*F32</x:f>
        <x:v>3232.32091632449</x:v>
      </x:c>
      <x:c r="J32" s="10" t="n">
        <x:v>87.3520089466</x:v>
      </x:c>
      <x:c r="K32" s="10" t="n">
        <x:v>778.570007324</x:v>
      </x:c>
      <x:c r="L32" s="11" t="n">
        <x:f>G32*K32/J32</x:f>
        <x:v>8913.017762418667</x:v>
      </x:c>
      <x:c r="M32" s="2" t="str">
        <x:v>current price</x:v>
      </x:c>
      <x:c r="N32" s="8" t="d">
        <x:v>2026-10-09T00:00:00.000Z</x:v>
      </x:c>
      <x:c r="O32" s="11" t="n">
        <x:f>I32-L32</x:f>
        <x:v>-5680.696846094177</x:v>
      </x:c>
    </x:row>
    <x:row r="33" ht="22" customHeight="1">
      <x:c r="A33" s="8" t="d">
        <x:v>2000-03-01T00:00:00.000Z</x:v>
      </x:c>
      <x:c r="B33" s="8" t="d">
        <x:v>2000-02-29T00:00:00.000Z</x:v>
      </x:c>
      <x:c r="C33" s="2" t="str">
        <x:v>NTAP</x:v>
      </x:c>
      <x:c r="D33" s="9" t="n">
        <x:v>0.8804483188</x:v>
      </x:c>
      <x:c r="E33" s="10" t="n">
        <x:v>69.0977584437</x:v>
      </x:c>
      <x:c r="F33" s="10" t="n">
        <x:v>237.149993896</x:v>
      </x:c>
      <x:c r="G33" s="11" t="n">
        <x:f>'Summary'!$C$18</x:f>
        <x:v>1000</x:v>
      </x:c>
      <x:c r="H33" s="12" t="n">
        <x:f>G33/E33</x:f>
        <x:v>14.472249498727049</x:v>
      </x:c>
      <x:c r="I33" s="11" t="n">
        <x:f>H33*F33</x:f>
        <x:v>3432.093880284509</x:v>
      </x:c>
      <x:c r="J33" s="10" t="n">
        <x:v>86.0237583634</x:v>
      </x:c>
      <x:c r="K33" s="10" t="n">
        <x:v>778.570007324</x:v>
      </x:c>
      <x:c r="L33" s="11" t="n">
        <x:f>G33*K33/J33</x:f>
        <x:v>9050.639290078418</x:v>
      </x:c>
      <x:c r="M33" s="2" t="str">
        <x:v>current price</x:v>
      </x:c>
      <x:c r="N33" s="8" t="d">
        <x:v>2026-10-09T00:00:00.000Z</x:v>
      </x:c>
      <x:c r="O33" s="11" t="n">
        <x:f>I33-L33</x:f>
        <x:v>-5618.545409793909</x:v>
      </x:c>
    </x:row>
    <x:row r="34" ht="22" customHeight="1">
      <x:c r="A34" s="8" t="d">
        <x:v>2000-04-03T00:00:00.000Z</x:v>
      </x:c>
      <x:c r="B34" s="8" t="d">
        <x:v>2000-03-31T00:00:00.000Z</x:v>
      </x:c>
      <x:c r="C34" s="2" t="str">
        <x:v>HIG</x:v>
      </x:c>
      <x:c r="D34" s="9" t="n">
        <x:v>0.688</x:v>
      </x:c>
      <x:c r="E34" s="10" t="n">
        <x:v>29.7968655264</x:v>
      </x:c>
      <x:c r="F34" s="10" t="n">
        <x:v>129.11000061</x:v>
      </x:c>
      <x:c r="G34" s="11" t="n">
        <x:f>'Summary'!$C$18</x:f>
        <x:v>1000</x:v>
      </x:c>
      <x:c r="H34" s="12" t="n">
        <x:f>G34/E34</x:f>
        <x:v>33.56057700478598</x:v>
      </x:c>
      <x:c r="I34" s="11" t="n">
        <x:f>H34*F34</x:f>
        <x:v>4333.006117559869</x:v>
      </x:c>
      <x:c r="J34" s="10" t="n">
        <x:v>94.0754904095</x:v>
      </x:c>
      <x:c r="K34" s="10" t="n">
        <x:v>778.570007324</x:v>
      </x:c>
      <x:c r="L34" s="11" t="n">
        <x:f>G34*K34/J34</x:f>
        <x:v>8276.013273329456</x:v>
      </x:c>
      <x:c r="M34" s="2" t="str">
        <x:v>current price</x:v>
      </x:c>
      <x:c r="N34" s="8" t="d">
        <x:v>2026-10-09T00:00:00.000Z</x:v>
      </x:c>
      <x:c r="O34" s="11" t="n">
        <x:f>I34-L34</x:f>
        <x:v>-3943.0071557695865</x:v>
      </x:c>
    </x:row>
    <x:row r="35" ht="22" customHeight="1">
      <x:c r="A35" s="8" t="d">
        <x:v>2000-05-01T00:00:00.000Z</x:v>
      </x:c>
      <x:c r="B35" s="8" t="d">
        <x:v>2000-04-28T00:00:00.000Z</x:v>
      </x:c>
      <x:c r="C35" s="2" t="str">
        <x:v>AMD</x:v>
      </x:c>
      <x:c r="D35" s="9" t="n">
        <x:v>0.4830508475</x:v>
      </x:c>
      <x:c r="E35" s="10" t="n">
        <x:v>43.5</x:v>
      </x:c>
      <x:c r="F35" s="10" t="n">
        <x:v>608.099975586</x:v>
      </x:c>
      <x:c r="G35" s="11" t="n">
        <x:f>'Summary'!$C$18</x:f>
        <x:v>1000</x:v>
      </x:c>
      <x:c r="H35" s="12" t="n">
        <x:f>G35/E35</x:f>
        <x:v>22.988505747126435</x:v>
      </x:c>
      <x:c r="I35" s="11" t="n">
        <x:f>H35*F35</x:f>
        <x:v>13979.309783586206</x:v>
      </x:c>
      <x:c r="J35" s="10" t="n">
        <x:v>91.8430578727</x:v>
      </x:c>
      <x:c r="K35" s="10" t="n">
        <x:v>778.570007324</x:v>
      </x:c>
      <x:c r="L35" s="11" t="n">
        <x:f>G35*K35/J35</x:f>
        <x:v>8477.178627949701</x:v>
      </x:c>
      <x:c r="M35" s="2" t="str">
        <x:v>current price</x:v>
      </x:c>
      <x:c r="N35" s="8" t="d">
        <x:v>2026-10-09T00:00:00.000Z</x:v>
      </x:c>
      <x:c r="O35" s="11" t="n">
        <x:f>I35-L35</x:f>
        <x:v>5502.131155636505</x:v>
      </x:c>
    </x:row>
    <x:row r="36" ht="22" customHeight="1">
      <x:c r="A36" s="8" t="d">
        <x:v>2000-06-01T00:00:00.000Z</x:v>
      </x:c>
      <x:c r="B36" s="8" t="d">
        <x:v>2000-05-31T00:00:00.000Z</x:v>
      </x:c>
      <x:c r="C36" s="2" t="str">
        <x:v>PGR</x:v>
      </x:c>
      <x:c r="D36" s="9" t="n">
        <x:v>0.4345750344</x:v>
      </x:c>
      <x:c r="E36" s="10" t="n">
        <x:v>3.9768007521</x:v>
      </x:c>
      <x:c r="F36" s="10" t="n">
        <x:v>217.429992676</x:v>
      </x:c>
      <x:c r="G36" s="11" t="n">
        <x:f>'Summary'!$C$18</x:f>
        <x:v>1000</x:v>
      </x:c>
      <x:c r="H36" s="12" t="n">
        <x:f>G36/E36</x:f>
        <x:v>251.45841150626853</x:v>
      </x:c>
      <x:c r="I36" s="11" t="n">
        <x:f>H36*F36</x:f>
        <x:v>54674.60057212656</x:v>
      </x:c>
      <x:c r="J36" s="10" t="n">
        <x:v>90.04144565</x:v>
      </x:c>
      <x:c r="K36" s="10" t="n">
        <x:v>778.570007324</x:v>
      </x:c>
      <x:c r="L36" s="11" t="n">
        <x:f>G36*K36/J36</x:f>
        <x:v>8646.7959471728</x:v>
      </x:c>
      <x:c r="M36" s="2" t="str">
        <x:v>current price</x:v>
      </x:c>
      <x:c r="N36" s="8" t="d">
        <x:v>2026-10-09T00:00:00.000Z</x:v>
      </x:c>
      <x:c r="O36" s="11" t="n">
        <x:f>I36-L36</x:f>
        <x:v>46027.80462495376</x:v>
      </x:c>
    </x:row>
    <x:row r="37" ht="22" customHeight="1">
      <x:c r="A37" s="8" t="d">
        <x:v>2000-07-03T00:00:00.000Z</x:v>
      </x:c>
      <x:c r="B37" s="8" t="d">
        <x:v>2000-06-30T00:00:00.000Z</x:v>
      </x:c>
      <x:c r="C37" s="2" t="str">
        <x:v>GLW</x:v>
      </x:c>
      <x:c r="D37" s="9" t="n">
        <x:v>0.3691525234</x:v>
      </x:c>
      <x:c r="E37" s="10" t="n">
        <x:v>58.2166347434</x:v>
      </x:c>
      <x:c r="F37" s="10" t="n">
        <x:v>156.679992676</x:v>
      </x:c>
      <x:c r="G37" s="11" t="n">
        <x:f>'Summary'!$C$18</x:f>
        <x:v>1000</x:v>
      </x:c>
      <x:c r="H37" s="12" t="n">
        <x:f>G37/E37</x:f>
        <x:v>17.17722098516472</x:v>
      </x:c>
      <x:c r="I37" s="11" t="n">
        <x:f>H37*F37</x:f>
        <x:v>2691.326858149642</x:v>
      </x:c>
      <x:c r="J37" s="10" t="n">
        <x:v>91.3526548284</x:v>
      </x:c>
      <x:c r="K37" s="10" t="n">
        <x:v>778.570007324</x:v>
      </x:c>
      <x:c r="L37" s="11" t="n">
        <x:f>G37*K37/J37</x:f>
        <x:v>8522.686163708027</x:v>
      </x:c>
      <x:c r="M37" s="2" t="str">
        <x:v>current price</x:v>
      </x:c>
      <x:c r="N37" s="8" t="d">
        <x:v>2026-10-09T00:00:00.000Z</x:v>
      </x:c>
      <x:c r="O37" s="11" t="n">
        <x:f>I37-L37</x:f>
        <x:v>-5831.359305558386</x:v>
      </x:c>
    </x:row>
    <x:row r="38" ht="22" customHeight="1">
      <x:c r="A38" s="8" t="d">
        <x:v>2000-08-01T00:00:00.000Z</x:v>
      </x:c>
      <x:c r="B38" s="8" t="d">
        <x:v>2000-07-31T00:00:00.000Z</x:v>
      </x:c>
      <x:c r="C38" s="2" t="str">
        <x:v>HUM</x:v>
      </x:c>
      <x:c r="D38" s="9" t="n">
        <x:v>0.5</x:v>
      </x:c>
      <x:c r="E38" s="10" t="n">
        <x:v>6.3694433746</x:v>
      </x:c>
      <x:c r="F38" s="10" t="n">
        <x:v>431.869995117</x:v>
      </x:c>
      <x:c r="G38" s="11" t="n">
        <x:f>'Summary'!$C$18</x:f>
        <x:v>1000</x:v>
      </x:c>
      <x:c r="H38" s="12" t="n">
        <x:f>G38/E38</x:f>
        <x:v>156.99959026055393</x:v>
      </x:c>
      <x:c r="I38" s="11" t="n">
        <x:f>H38*F38</x:f>
        <x:v>67803.41227919642</x:v>
      </x:c>
      <x:c r="J38" s="10" t="n">
        <x:v>90.2141816914</x:v>
      </x:c>
      <x:c r="K38" s="10" t="n">
        <x:v>778.570007324</x:v>
      </x:c>
      <x:c r="L38" s="11" t="n">
        <x:f>G38*K38/J38</x:f>
        <x:v>8630.239644441846</x:v>
      </x:c>
      <x:c r="M38" s="2" t="str">
        <x:v>current price</x:v>
      </x:c>
      <x:c r="N38" s="8" t="d">
        <x:v>2026-10-09T00:00:00.000Z</x:v>
      </x:c>
      <x:c r="O38" s="11" t="n">
        <x:f>I38-L38</x:f>
        <x:v>59173.17263475457</x:v>
      </x:c>
    </x:row>
    <x:row r="39" ht="22" customHeight="1">
      <x:c r="A39" s="8" t="d">
        <x:v>2000-09-01T00:00:00.000Z</x:v>
      </x:c>
      <x:c r="B39" s="8" t="d">
        <x:v>2000-08-31T00:00:00.000Z</x:v>
      </x:c>
      <x:c r="C39" s="2" t="str">
        <x:v>LXK-201611</x:v>
      </x:c>
      <x:c r="D39" s="9" t="n">
        <x:v>0.5053262317</x:v>
      </x:c>
      <x:c r="E39" s="10" t="n">
        <x:v>55.6632651242</x:v>
      </x:c>
      <x:c r="F39" s="10" t="n">
        <x:v>0</x:v>
      </x:c>
      <x:c r="G39" s="11" t="n">
        <x:f>'Summary'!$C$18</x:f>
        <x:v>1000</x:v>
      </x:c>
      <x:c r="H39" s="12" t="n">
        <x:f>G39/E39</x:f>
        <x:v>17.965169627917547</x:v>
      </x:c>
      <x:c r="I39" s="11" t="n">
        <x:f>H39*F39</x:f>
        <x:v>0</x:v>
      </x:c>
      <x:c r="J39" s="10" t="n">
        <x:v>96.2598666263</x:v>
      </x:c>
      <x:c r="K39" s="10" t="n">
        <x:v>778.570007324</x:v>
      </x:c>
      <x:c r="L39" s="11" t="n">
        <x:f>G39*K39/J39</x:f>
        <x:v>8088.2099114739485</x:v>
      </x:c>
      <x:c r="M39" s="2" t="str">
        <x:v>written off ($0 rule)</x:v>
      </x:c>
      <x:c r="N39" s="8" t="d">
        <x:v>2016-11-28T00:00:00.000Z</x:v>
      </x:c>
      <x:c r="O39" s="11" t="n">
        <x:f>I39-L39</x:f>
        <x:v>-8088.2099114739485</x:v>
      </x:c>
    </x:row>
    <x:row r="40" ht="22" customHeight="1">
      <x:c r="A40" s="8" t="d">
        <x:v>2000-10-02T00:00:00.000Z</x:v>
      </x:c>
      <x:c r="B40" s="8" t="d">
        <x:v>2000-09-29T00:00:00.000Z</x:v>
      </x:c>
      <x:c r="C40" s="2" t="str">
        <x:v>MDR</x:v>
      </x:c>
      <x:c r="D40" s="9" t="n">
        <x:v>0.4308012487</x:v>
      </x:c>
      <x:c r="E40" s="10" t="n">
        <x:v>8.6990842576</x:v>
      </x:c>
      <x:c r="F40" s="10" t="n">
        <x:v>0</x:v>
      </x:c>
      <x:c r="G40" s="11" t="n">
        <x:f>'Summary'!$C$18</x:f>
        <x:v>1000</x:v>
      </x:c>
      <x:c r="H40" s="12" t="n">
        <x:f>G40/E40</x:f>
        <x:v>114.95462860086047</x:v>
      </x:c>
      <x:c r="I40" s="11" t="n">
        <x:f>H40*F40</x:f>
        <x:v>0</x:v>
      </x:c>
      <x:c r="J40" s="10" t="n">
        <x:v>90.8540681376</x:v>
      </x:c>
      <x:c r="K40" s="10" t="n">
        <x:v>778.570007324</x:v>
      </x:c>
      <x:c r="L40" s="11" t="n">
        <x:f>G40*K40/J40</x:f>
        <x:v>8569.456748429171</x:v>
      </x:c>
      <x:c r="M40" s="2" t="str">
        <x:v>written off ($0 rule)</x:v>
      </x:c>
      <x:c r="N40" s="8" t="d">
        <x:v>2020-01-22T00:00:00.000Z</x:v>
      </x:c>
      <x:c r="O40" s="11" t="n">
        <x:f>I40-L40</x:f>
        <x:v>-8569.456748429171</x:v>
      </x:c>
    </x:row>
    <x:row r="41" ht="22" customHeight="1">
      <x:c r="A41" s="8" t="d">
        <x:v>2000-11-01T00:00:00.000Z</x:v>
      </x:c>
      <x:c r="B41" s="8" t="d">
        <x:v>2000-10-31T00:00:00.000Z</x:v>
      </x:c>
      <x:c r="C41" s="2" t="str">
        <x:v>HON</x:v>
      </x:c>
      <x:c r="D41" s="9" t="n">
        <x:v>0.5105262548</x:v>
      </x:c>
      <x:c r="E41" s="10" t="n">
        <x:v>26.9699078048</x:v>
      </x:c>
      <x:c r="F41" s="10" t="n">
        <x:v>207.729995728</x:v>
      </x:c>
      <x:c r="G41" s="11" t="n">
        <x:f>'Summary'!$C$18</x:f>
        <x:v>1000</x:v>
      </x:c>
      <x:c r="H41" s="12" t="n">
        <x:f>G41/E41</x:f>
        <x:v>37.07836182599126</x:v>
      </x:c>
      <x:c r="I41" s="11" t="n">
        <x:f>H41*F41</x:f>
        <x:v>7702.287943714403</x:v>
      </x:c>
      <x:c r="J41" s="10" t="n">
        <x:v>89.5749876895</x:v>
      </x:c>
      <x:c r="K41" s="10" t="n">
        <x:v>778.570007324</x:v>
      </x:c>
      <x:c r="L41" s="11" t="n">
        <x:f>G41*K41/J41</x:f>
        <x:v>8691.823771417208</x:v>
      </x:c>
      <x:c r="M41" s="2" t="str">
        <x:v>current price</x:v>
      </x:c>
      <x:c r="N41" s="8" t="d">
        <x:v>2026-10-09T00:00:00.000Z</x:v>
      </x:c>
      <x:c r="O41" s="11" t="n">
        <x:f>I41-L41</x:f>
        <x:v>-989.5358277028054</x:v>
      </x:c>
    </x:row>
    <x:row r="42" ht="22" customHeight="1">
      <x:c r="A42" s="8" t="d">
        <x:v>2000-12-01T00:00:00.000Z</x:v>
      </x:c>
      <x:c r="B42" s="8" t="d">
        <x:v>2000-11-30T00:00:00.000Z</x:v>
      </x:c>
      <x:c r="C42" s="2" t="str">
        <x:v>QCOM</x:v>
      </x:c>
      <x:c r="D42" s="9" t="n">
        <x:v>0.2325413967</x:v>
      </x:c>
      <x:c r="E42" s="10" t="n">
        <x:v>25.1209569219</x:v>
      </x:c>
      <x:c r="F42" s="10" t="n">
        <x:v>175.5</x:v>
      </x:c>
      <x:c r="G42" s="11" t="n">
        <x:f>'Summary'!$C$18</x:f>
        <x:v>1000</x:v>
      </x:c>
      <x:c r="H42" s="12" t="n">
        <x:f>G42/E42</x:f>
        <x:v>39.80740077334466</x:v>
      </x:c>
      <x:c r="I42" s="11" t="n">
        <x:f>H42*F42</x:f>
        <x:v>6986.198835721988</x:v>
      </x:c>
      <x:c r="J42" s="10" t="n">
        <x:v>83.8683210748</x:v>
      </x:c>
      <x:c r="K42" s="10" t="n">
        <x:v>778.570007324</x:v>
      </x:c>
      <x:c r="L42" s="11" t="n">
        <x:f>G42*K42/J42</x:f>
        <x:v>9283.243033202172</x:v>
      </x:c>
      <x:c r="M42" s="2" t="str">
        <x:v>current price</x:v>
      </x:c>
      <x:c r="N42" s="8" t="d">
        <x:v>2026-10-09T00:00:00.000Z</x:v>
      </x:c>
      <x:c r="O42" s="11" t="n">
        <x:f>I42-L42</x:f>
        <x:v>-2297.0441974801843</x:v>
      </x:c>
    </x:row>
    <x:row r="43" ht="22" customHeight="1">
      <x:c r="A43" s="8" t="d">
        <x:v>2001-01-02T00:00:00.000Z</x:v>
      </x:c>
      <x:c r="B43" s="8" t="d">
        <x:v>2000-12-29T00:00:00.000Z</x:v>
      </x:c>
      <x:c r="C43" s="2" t="str">
        <x:v>LPX</x:v>
      </x:c>
      <x:c r="D43" s="9" t="n">
        <x:v>0.4336283186</x:v>
      </x:c>
      <x:c r="E43" s="10" t="n">
        <x:v>7.5846316282</x:v>
      </x:c>
      <x:c r="F43" s="10" t="n">
        <x:v>65.6900024414</x:v>
      </x:c>
      <x:c r="G43" s="11" t="n">
        <x:f>'Summary'!$C$18</x:f>
        <x:v>1000</x:v>
      </x:c>
      <x:c r="H43" s="12" t="n">
        <x:f>G43/E43</x:f>
        <x:v>131.84555941806786</x:v>
      </x:c>
      <x:c r="I43" s="11" t="n">
        <x:f>H43*F43</x:f>
        <x:v>8660.935120060627</x:v>
      </x:c>
      <x:c r="J43" s="10" t="n">
        <x:v>83.3755043807</x:v>
      </x:c>
      <x:c r="K43" s="10" t="n">
        <x:v>778.570007324</x:v>
      </x:c>
      <x:c r="L43" s="11" t="n">
        <x:f>G43*K43/J43</x:f>
        <x:v>9338.114511055668</x:v>
      </x:c>
      <x:c r="M43" s="2" t="str">
        <x:v>current price</x:v>
      </x:c>
      <x:c r="N43" s="8" t="d">
        <x:v>2026-10-09T00:00:00.000Z</x:v>
      </x:c>
      <x:c r="O43" s="11" t="n">
        <x:f>I43-L43</x:f>
        <x:v>-677.1793909950411</x:v>
      </x:c>
    </x:row>
    <x:row r="44" ht="22" customHeight="1">
      <x:c r="A44" s="8" t="d">
        <x:v>2001-02-01T00:00:00.000Z</x:v>
      </x:c>
      <x:c r="B44" s="8" t="d">
        <x:v>2001-01-31T00:00:00.000Z</x:v>
      </x:c>
      <x:c r="C44" s="2" t="str">
        <x:v>CPWR-201412</x:v>
      </x:c>
      <x:c r="D44" s="9" t="n">
        <x:v>0.9904</x:v>
      </x:c>
      <x:c r="E44" s="10" t="n">
        <x:v>11.5551215034</x:v>
      </x:c>
      <x:c r="F44" s="10" t="n">
        <x:v>0</x:v>
      </x:c>
      <x:c r="G44" s="11" t="n">
        <x:f>'Summary'!$C$18</x:f>
        <x:v>1000</x:v>
      </x:c>
      <x:c r="H44" s="12" t="n">
        <x:f>G44/E44</x:f>
        <x:v>86.54171223606417</x:v>
      </x:c>
      <x:c r="I44" s="11" t="n">
        <x:f>H44*F44</x:f>
        <x:v>0</x:v>
      </x:c>
      <x:c r="J44" s="10" t="n">
        <x:v>86.5968345416</x:v>
      </x:c>
      <x:c r="K44" s="10" t="n">
        <x:v>778.570007324</x:v>
      </x:c>
      <x:c r="L44" s="11" t="n">
        <x:f>G44*K44/J44</x:f>
        <x:v>8990.744424381759</x:v>
      </x:c>
      <x:c r="M44" s="2" t="str">
        <x:v>written off ($0 rule)</x:v>
      </x:c>
      <x:c r="N44" s="8" t="d">
        <x:v>2014-12-15T00:00:00.000Z</x:v>
      </x:c>
      <x:c r="O44" s="11" t="n">
        <x:f>I44-L44</x:f>
        <x:v>-8990.744424381759</x:v>
      </x:c>
    </x:row>
    <x:row r="45" ht="22" customHeight="1">
      <x:c r="A45" s="8" t="d">
        <x:v>2001-03-01T00:00:00.000Z</x:v>
      </x:c>
      <x:c r="B45" s="8" t="d">
        <x:v>2001-02-28T00:00:00.000Z</x:v>
      </x:c>
      <x:c r="C45" s="2" t="str">
        <x:v>SYK</x:v>
      </x:c>
      <x:c r="D45" s="9" t="n">
        <x:v>0.24225665</x:v>
      </x:c>
      <x:c r="E45" s="10" t="n">
        <x:v>22.0430796138</x:v>
      </x:c>
      <x:c r="F45" s="10" t="n">
        <x:v>277.329986572</x:v>
      </x:c>
      <x:c r="G45" s="11" t="n">
        <x:f>'Summary'!$C$18</x:f>
        <x:v>1000</x:v>
      </x:c>
      <x:c r="H45" s="12" t="n">
        <x:f>G45/E45</x:f>
        <x:v>45.3657119386328</x:v>
      </x:c>
      <x:c r="I45" s="11" t="n">
        <x:f>H45*F45</x:f>
        <x:v>12581.272282770255</x:v>
      </x:c>
      <x:c r="J45" s="10" t="n">
        <x:v>78.3540270674</x:v>
      </x:c>
      <x:c r="K45" s="10" t="n">
        <x:v>778.570007324</x:v>
      </x:c>
      <x:c r="L45" s="11" t="n">
        <x:f>G45*K45/J45</x:f>
        <x:v>9936.566587117155</x:v>
      </x:c>
      <x:c r="M45" s="2" t="str">
        <x:v>current price</x:v>
      </x:c>
      <x:c r="N45" s="8" t="d">
        <x:v>2026-10-09T00:00:00.000Z</x:v>
      </x:c>
      <x:c r="O45" s="11" t="n">
        <x:f>I45-L45</x:f>
        <x:v>2644.7056956530996</x:v>
      </x:c>
    </x:row>
    <x:row r="46" ht="22" customHeight="1">
      <x:c r="A46" s="8" t="d">
        <x:v>2001-04-02T00:00:00.000Z</x:v>
      </x:c>
      <x:c r="B46" s="8" t="d">
        <x:v>2001-03-30T00:00:00.000Z</x:v>
      </x:c>
      <x:c r="C46" s="2" t="str">
        <x:v>AMD</x:v>
      </x:c>
      <x:c r="D46" s="9" t="n">
        <x:v>0.2344186472</x:v>
      </x:c>
      <x:c r="E46" s="10" t="n">
        <x:v>26.7000007629</x:v>
      </x:c>
      <x:c r="F46" s="10" t="n">
        <x:v>608.099975586</x:v>
      </x:c>
      <x:c r="G46" s="11" t="n">
        <x:f>'Summary'!$C$18</x:f>
        <x:v>1000</x:v>
      </x:c>
      <x:c r="H46" s="12" t="n">
        <x:f>G46/E46</x:f>
        <x:v>37.4531824504482</x:v>
      </x:c>
      <x:c r="I46" s="11" t="n">
        <x:f>H46*F46</x:f>
        <x:v>22775.279333735558</x:v>
      </x:c>
      <x:c r="J46" s="10" t="n">
        <x:v>73.6566607583</x:v>
      </x:c>
      <x:c r="K46" s="10" t="n">
        <x:v>778.570007324</x:v>
      </x:c>
      <x:c r="L46" s="11" t="n">
        <x:f>G46*K46/J46</x:f>
        <x:v>10570.259353445734</x:v>
      </x:c>
      <x:c r="M46" s="2" t="str">
        <x:v>current price</x:v>
      </x:c>
      <x:c r="N46" s="8" t="d">
        <x:v>2026-10-09T00:00:00.000Z</x:v>
      </x:c>
      <x:c r="O46" s="11" t="n">
        <x:f>I46-L46</x:f>
        <x:v>12205.019980289824</x:v>
      </x:c>
    </x:row>
    <x:row r="47" ht="22" customHeight="1">
      <x:c r="A47" s="8" t="d">
        <x:v>2001-05-01T00:00:00.000Z</x:v>
      </x:c>
      <x:c r="B47" s="8" t="d">
        <x:v>2001-04-30T00:00:00.000Z</x:v>
      </x:c>
      <x:c r="C47" s="2" t="str">
        <x:v>QLGC-201608</x:v>
      </x:c>
      <x:c r="D47" s="9" t="n">
        <x:v>0.9062222222</x:v>
      </x:c>
      <x:c r="E47" s="10" t="n">
        <x:v>21.75</x:v>
      </x:c>
      <x:c r="F47" s="10" t="n">
        <x:v>0</x:v>
      </x:c>
      <x:c r="G47" s="11" t="n">
        <x:f>'Summary'!$C$18</x:f>
        <x:v>1000</x:v>
      </x:c>
      <x:c r="H47" s="12" t="n">
        <x:f>G47/E47</x:f>
        <x:v>45.97701149425287</x:v>
      </x:c>
      <x:c r="I47" s="11" t="n">
        <x:f>H47*F47</x:f>
        <x:v>0</x:v>
      </x:c>
      <x:c r="J47" s="10" t="n">
        <x:v>79.2109913738</x:v>
      </x:c>
      <x:c r="K47" s="10" t="n">
        <x:v>778.570007324</x:v>
      </x:c>
      <x:c r="L47" s="11" t="n">
        <x:f>G47*K47/J47</x:f>
        <x:v>9829.065307993627</x:v>
      </x:c>
      <x:c r="M47" s="2" t="str">
        <x:v>written off ($0 rule)</x:v>
      </x:c>
      <x:c r="N47" s="8" t="d">
        <x:v>2016-08-15T00:00:00.000Z</x:v>
      </x:c>
      <x:c r="O47" s="11" t="n">
        <x:f>I47-L47</x:f>
        <x:v>-9829.065307993627</x:v>
      </x:c>
    </x:row>
    <x:row r="48" ht="22" customHeight="1">
      <x:c r="A48" s="8" t="d">
        <x:v>2001-06-01T00:00:00.000Z</x:v>
      </x:c>
      <x:c r="B48" s="8" t="d">
        <x:v>2001-05-31T00:00:00.000Z</x:v>
      </x:c>
      <x:c r="C48" s="2" t="str">
        <x:v>FTR</x:v>
      </x:c>
      <x:c r="D48" s="9" t="n">
        <x:v>0.292173913</x:v>
      </x:c>
      <x:c r="E48" s="10" t="n">
        <x:v>3.9002530334</x:v>
      </x:c>
      <x:c r="F48" s="10" t="n">
        <x:v>0</x:v>
      </x:c>
      <x:c r="G48" s="11" t="n">
        <x:f>'Summary'!$C$18</x:f>
        <x:v>1000</x:v>
      </x:c>
      <x:c r="H48" s="12" t="n">
        <x:f>G48/E48</x:f>
        <x:v>256.39362150005473</x:v>
      </x:c>
      <x:c r="I48" s="11" t="n">
        <x:f>H48*F48</x:f>
        <x:v>0</x:v>
      </x:c>
      <x:c r="J48" s="10" t="n">
        <x:v>79.9266562246</x:v>
      </x:c>
      <x:c r="K48" s="10" t="n">
        <x:v>778.570007324</x:v>
      </x:c>
      <x:c r="L48" s="11" t="n">
        <x:f>G48*K48/J48</x:f>
        <x:v>9741.055664034773</x:v>
      </x:c>
      <x:c r="M48" s="2" t="str">
        <x:v>written off ($0 rule)</x:v>
      </x:c>
      <x:c r="N48" s="8" t="d">
        <x:v>2018-03-07T00:00:00.000Z</x:v>
      </x:c>
      <x:c r="O48" s="11" t="n">
        <x:f>I48-L48</x:f>
        <x:v>-9741.055664034773</x:v>
      </x:c>
    </x:row>
    <x:row r="49" ht="22" customHeight="1">
      <x:c r="A49" s="8" t="d">
        <x:v>2001-07-02T00:00:00.000Z</x:v>
      </x:c>
      <x:c r="B49" s="8" t="d">
        <x:v>2001-06-29T00:00:00.000Z</x:v>
      </x:c>
      <x:c r="C49" s="2" t="str">
        <x:v>CTXS</x:v>
      </x:c>
      <x:c r="D49" s="9" t="n">
        <x:v>0.460251046</x:v>
      </x:c>
      <x:c r="E49" s="10" t="n">
        <x:v>26.4926777742</x:v>
      </x:c>
      <x:c r="F49" s="10" t="n">
        <x:v>0</x:v>
      </x:c>
      <x:c r="G49" s="11" t="n">
        <x:f>'Summary'!$C$18</x:f>
        <x:v>1000</x:v>
      </x:c>
      <x:c r="H49" s="12" t="n">
        <x:f>G49/E49</x:f>
        <x:v>37.74627874626754</x:v>
      </x:c>
      <x:c r="I49" s="11" t="n">
        <x:f>H49*F49</x:f>
        <x:v>0</x:v>
      </x:c>
      <x:c r="J49" s="10" t="n">
        <x:v>77.9945245728</x:v>
      </x:c>
      <x:c r="K49" s="10" t="n">
        <x:v>778.570007324</x:v>
      </x:c>
      <x:c r="L49" s="11" t="n">
        <x:f>G49*K49/J49</x:f>
        <x:v>9982.367500647864</x:v>
      </x:c>
      <x:c r="M49" s="2" t="str">
        <x:v>written off ($0 rule)</x:v>
      </x:c>
      <x:c r="N49" s="8" t="d">
        <x:v>2022-09-29T00:00:00.000Z</x:v>
      </x:c>
      <x:c r="O49" s="11" t="n">
        <x:f>I49-L49</x:f>
        <x:v>-9982.367500647864</x:v>
      </x:c>
    </x:row>
    <x:row r="50" ht="22" customHeight="1">
      <x:c r="A50" s="8" t="d">
        <x:v>2001-08-01T00:00:00.000Z</x:v>
      </x:c>
      <x:c r="B50" s="8" t="d">
        <x:v>2001-07-31T00:00:00.000Z</x:v>
      </x:c>
      <x:c r="C50" s="2" t="str">
        <x:v>PCG</x:v>
      </x:c>
      <x:c r="D50" s="9" t="n">
        <x:v>0.3276785838</x:v>
      </x:c>
      <x:c r="E50" s="10" t="n">
        <x:v>8.9721971957</x:v>
      </x:c>
      <x:c r="F50" s="10" t="n">
        <x:v>13.1300001144</x:v>
      </x:c>
      <x:c r="G50" s="11" t="n">
        <x:f>'Summary'!$C$18</x:f>
        <x:v>1000</x:v>
      </x:c>
      <x:c r="H50" s="12" t="n">
        <x:f>G50/E50</x:f>
        <x:v>111.45541924549522</x:v>
      </x:c>
      <x:c r="I50" s="11" t="n">
        <x:f>H50*F50</x:f>
        <x:v>1463.4096674438522</x:v>
      </x:c>
      <x:c r="J50" s="10" t="n">
        <x:v>77.4673617341</x:v>
      </x:c>
      <x:c r="K50" s="10" t="n">
        <x:v>778.570007324</x:v>
      </x:c>
      <x:c r="L50" s="11" t="n">
        <x:f>G50*K50/J50</x:f>
        <x:v>10050.297181881242</x:v>
      </x:c>
      <x:c r="M50" s="2" t="str">
        <x:v>current price</x:v>
      </x:c>
      <x:c r="N50" s="8" t="d">
        <x:v>2026-10-09T00:00:00.000Z</x:v>
      </x:c>
      <x:c r="O50" s="11" t="n">
        <x:f>I50-L50</x:f>
        <x:v>-8586.88751443739</x:v>
      </x:c>
    </x:row>
    <x:row r="51" ht="22" customHeight="1">
      <x:c r="A51" s="8" t="d">
        <x:v>2001-09-04T00:00:00.000Z</x:v>
      </x:c>
      <x:c r="B51" s="8" t="d">
        <x:v>2001-08-31T00:00:00.000Z</x:v>
      </x:c>
      <x:c r="C51" s="2" t="str">
        <x:v>DDS</x:v>
      </x:c>
      <x:c r="D51" s="9" t="n">
        <x:v>0.2061994228</x:v>
      </x:c>
      <x:c r="E51" s="10" t="n">
        <x:v>11.42114035</x:v>
      </x:c>
      <x:c r="F51" s="10" t="n">
        <x:v>642.239990234</x:v>
      </x:c>
      <x:c r="G51" s="11" t="n">
        <x:f>'Summary'!$C$18</x:f>
        <x:v>1000</x:v>
      </x:c>
      <x:c r="H51" s="12" t="n">
        <x:f>G51/E51</x:f>
        <x:v>87.5569312130903</x:v>
      </x:c>
      <x:c r="I51" s="11" t="n">
        <x:f>H51*F51</x:f>
        <x:v>56232.562647214116</x:v>
      </x:c>
      <x:c r="J51" s="10" t="n">
        <x:v>72.3100674501</x:v>
      </x:c>
      <x:c r="K51" s="10" t="n">
        <x:v>778.570007324</x:v>
      </x:c>
      <x:c r="L51" s="11" t="n">
        <x:f>G51*K51/J51</x:f>
        <x:v>10767.10387334763</x:v>
      </x:c>
      <x:c r="M51" s="2" t="str">
        <x:v>current price</x:v>
      </x:c>
      <x:c r="N51" s="8" t="d">
        <x:v>2026-10-09T00:00:00.000Z</x:v>
      </x:c>
      <x:c r="O51" s="11" t="n">
        <x:f>I51-L51</x:f>
        <x:v>45465.458773866485</x:v>
      </x:c>
    </x:row>
    <x:row r="52" ht="22" customHeight="1">
      <x:c r="A52" s="8" t="d">
        <x:v>2001-10-01T00:00:00.000Z</x:v>
      </x:c>
      <x:c r="B52" s="8" t="d">
        <x:v>2001-09-28T00:00:00.000Z</x:v>
      </x:c>
      <x:c r="C52" s="2" t="str">
        <x:v>RTN</x:v>
      </x:c>
      <x:c r="D52" s="9" t="n">
        <x:v>0.3217953595</x:v>
      </x:c>
      <x:c r="E52" s="10" t="n">
        <x:v>21.3480478053</x:v>
      </x:c>
      <x:c r="F52" s="10" t="n">
        <x:v>0</x:v>
      </x:c>
      <x:c r="G52" s="11" t="n">
        <x:f>'Summary'!$C$18</x:f>
        <x:v>1000</x:v>
      </x:c>
      <x:c r="H52" s="12" t="n">
        <x:f>G52/E52</x:f>
        <x:v>46.8426906816151</x:v>
      </x:c>
      <x:c r="I52" s="11" t="n">
        <x:f>H52*F52</x:f>
        <x:v>0</x:v>
      </x:c>
      <x:c r="J52" s="10" t="n">
        <x:v>66.2380933963</x:v>
      </x:c>
      <x:c r="K52" s="10" t="n">
        <x:v>778.570007324</x:v>
      </x:c>
      <x:c r="L52" s="11" t="n">
        <x:f>G52*K52/J52</x:f>
        <x:v>11754.112586934609</x:v>
      </x:c>
      <x:c r="M52" s="2" t="str">
        <x:v>written off ($0 rule)</x:v>
      </x:c>
      <x:c r="N52" s="8" t="d">
        <x:v>2020-04-02T00:00:00.000Z</x:v>
      </x:c>
      <x:c r="O52" s="11" t="n">
        <x:f>I52-L52</x:f>
        <x:v>-11754.112586934609</x:v>
      </x:c>
    </x:row>
    <x:row r="53" ht="22" customHeight="1">
      <x:c r="A53" s="8" t="d">
        <x:v>2001-11-01T00:00:00.000Z</x:v>
      </x:c>
      <x:c r="B53" s="8" t="d">
        <x:v>2001-10-31T00:00:00.000Z</x:v>
      </x:c>
      <x:c r="C53" s="2" t="str">
        <x:v>QLGC-201608</x:v>
      </x:c>
      <x:c r="D53" s="9" t="n">
        <x:v>1.0710526316</x:v>
      </x:c>
      <x:c r="E53" s="10" t="n">
        <x:v>20.25</x:v>
      </x:c>
      <x:c r="F53" s="10" t="n">
        <x:v>0</x:v>
      </x:c>
      <x:c r="G53" s="11" t="n">
        <x:f>'Summary'!$C$18</x:f>
        <x:v>1000</x:v>
      </x:c>
      <x:c r="H53" s="12" t="n">
        <x:f>G53/E53</x:f>
        <x:v>49.382716049382715</x:v>
      </x:c>
      <x:c r="I53" s="11" t="n">
        <x:f>H53*F53</x:f>
        <x:v>0</x:v>
      </x:c>
      <x:c r="J53" s="10" t="n">
        <x:v>67.9593893289</x:v>
      </x:c>
      <x:c r="K53" s="10" t="n">
        <x:v>778.570007324</x:v>
      </x:c>
      <x:c r="L53" s="11" t="n">
        <x:f>G53*K53/J53</x:f>
        <x:v>11456.400874292583</x:v>
      </x:c>
      <x:c r="M53" s="2" t="str">
        <x:v>written off ($0 rule)</x:v>
      </x:c>
      <x:c r="N53" s="8" t="d">
        <x:v>2016-08-15T00:00:00.000Z</x:v>
      </x:c>
      <x:c r="O53" s="11" t="n">
        <x:f>I53-L53</x:f>
        <x:v>-11456.400874292583</x:v>
      </x:c>
    </x:row>
    <x:row r="54" ht="22" customHeight="1">
      <x:c r="A54" s="8" t="d">
        <x:v>2001-12-03T00:00:00.000Z</x:v>
      </x:c>
      <x:c r="B54" s="8" t="d">
        <x:v>2001-11-30T00:00:00.000Z</x:v>
      </x:c>
      <x:c r="C54" s="2" t="str">
        <x:v>SAPE-201502</x:v>
      </x:c>
      <x:c r="D54" s="9" t="n">
        <x:v>0.4570765661</x:v>
      </x:c>
      <x:c r="E54" s="10" t="n">
        <x:v>5.6814870825</x:v>
      </x:c>
      <x:c r="F54" s="10" t="n">
        <x:v>0</x:v>
      </x:c>
      <x:c r="G54" s="11" t="n">
        <x:f>'Summary'!$C$18</x:f>
        <x:v>1000</x:v>
      </x:c>
      <x:c r="H54" s="12" t="n">
        <x:f>G54/E54</x:f>
        <x:v>176.01025673017534</x:v>
      </x:c>
      <x:c r="I54" s="11" t="n">
        <x:f>H54*F54</x:f>
        <x:v>0</x:v>
      </x:c>
      <x:c r="J54" s="10" t="n">
        <x:v>72.4538912894</x:v>
      </x:c>
      <x:c r="K54" s="10" t="n">
        <x:v>778.570007324</x:v>
      </x:c>
      <x:c r="L54" s="11" t="n">
        <x:f>G54*K54/J54</x:f>
        <x:v>10745.73074638856</x:v>
      </x:c>
      <x:c r="M54" s="2" t="str">
        <x:v>written off ($0 rule)</x:v>
      </x:c>
      <x:c r="N54" s="8" t="d">
        <x:v>2015-02-05T00:00:00.000Z</x:v>
      </x:c>
      <x:c r="O54" s="11" t="n">
        <x:f>I54-L54</x:f>
        <x:v>-10745.73074638856</x:v>
      </x:c>
    </x:row>
    <x:row r="55" ht="22" customHeight="1">
      <x:c r="A55" s="8" t="d">
        <x:v>2002-01-02T00:00:00.000Z</x:v>
      </x:c>
      <x:c r="B55" s="8" t="d">
        <x:v>2001-12-31T00:00:00.000Z</x:v>
      </x:c>
      <x:c r="C55" s="2" t="str">
        <x:v>NTAP</x:v>
      </x:c>
      <x:c r="D55" s="9" t="n">
        <x:v>0.4173687885</x:v>
      </x:c>
      <x:c r="E55" s="10" t="n">
        <x:v>16.5031373019</x:v>
      </x:c>
      <x:c r="F55" s="10" t="n">
        <x:v>237.149993896</x:v>
      </x:c>
      <x:c r="G55" s="11" t="n">
        <x:f>'Summary'!$C$18</x:f>
        <x:v>1000</x:v>
      </x:c>
      <x:c r="H55" s="12" t="n">
        <x:f>G55/E55</x:f>
        <x:v>60.5945391901254</x:v>
      </x:c>
      <x:c r="I55" s="11" t="n">
        <x:f>H55*F55</x:f>
        <x:v>14369.994599069172</x:v>
      </x:c>
      <x:c r="J55" s="10" t="n">
        <x:v>73.6370815338</x:v>
      </x:c>
      <x:c r="K55" s="10" t="n">
        <x:v>778.570007324</x:v>
      </x:c>
      <x:c r="L55" s="11" t="n">
        <x:f>G55*K55/J55</x:f>
        <x:v>10573.069859736772</x:v>
      </x:c>
      <x:c r="M55" s="2" t="str">
        <x:v>current price</x:v>
      </x:c>
      <x:c r="N55" s="8" t="d">
        <x:v>2026-10-09T00:00:00.000Z</x:v>
      </x:c>
      <x:c r="O55" s="11" t="n">
        <x:f>I55-L55</x:f>
        <x:v>3796.9247393324003</x:v>
      </x:c>
    </x:row>
    <x:row r="56" ht="22" customHeight="1">
      <x:c r="A56" s="8" t="d">
        <x:v>2002-02-01T00:00:00.000Z</x:v>
      </x:c>
      <x:c r="B56" s="8" t="d">
        <x:v>2002-01-31T00:00:00.000Z</x:v>
      </x:c>
      <x:c r="C56" s="2" t="str">
        <x:v>BBWI</x:v>
      </x:c>
      <x:c r="D56" s="9" t="n">
        <x:v>0.2601902579</x:v>
      </x:c>
      <x:c r="E56" s="10" t="n">
        <x:v>4.6533078944</x:v>
      </x:c>
      <x:c r="F56" s="10" t="n">
        <x:v>17.3400001526</x:v>
      </x:c>
      <x:c r="G56" s="11" t="n">
        <x:f>'Summary'!$C$18</x:f>
        <x:v>1000</x:v>
      </x:c>
      <x:c r="H56" s="12" t="n">
        <x:f>G56/E56</x:f>
        <x:v>214.900888291412</x:v>
      </x:c>
      <x:c r="I56" s="11" t="n">
        <x:f>H56*F56</x:f>
        <x:v>3726.3814357669594</x:v>
      </x:c>
      <x:c r="J56" s="10" t="n">
        <x:v>72.3448634944</x:v>
      </x:c>
      <x:c r="K56" s="10" t="n">
        <x:v>778.570007324</x:v>
      </x:c>
      <x:c r="L56" s="11" t="n">
        <x:f>G56*K56/J56</x:f>
        <x:v>10761.925169494123</x:v>
      </x:c>
      <x:c r="M56" s="2" t="str">
        <x:v>current price</x:v>
      </x:c>
      <x:c r="N56" s="8" t="d">
        <x:v>2026-10-09T00:00:00.000Z</x:v>
      </x:c>
      <x:c r="O56" s="11" t="n">
        <x:f>I56-L56</x:f>
        <x:v>-7035.543733727163</x:v>
      </x:c>
    </x:row>
    <x:row r="57" ht="22" customHeight="1">
      <x:c r="A57" s="8" t="d">
        <x:v>2002-03-01T00:00:00.000Z</x:v>
      </x:c>
      <x:c r="B57" s="8" t="d">
        <x:v>2002-02-28T00:00:00.000Z</x:v>
      </x:c>
      <x:c r="C57" s="2" t="str">
        <x:v>DDS</x:v>
      </x:c>
      <x:c r="D57" s="9" t="n">
        <x:v>0.3977747025</x:v>
      </x:c>
      <x:c r="E57" s="10" t="n">
        <x:v>12.5601427946</x:v>
      </x:c>
      <x:c r="F57" s="10" t="n">
        <x:v>642.239990234</x:v>
      </x:c>
      <x:c r="G57" s="11" t="n">
        <x:f>'Summary'!$C$18</x:f>
        <x:v>1000</x:v>
      </x:c>
      <x:c r="H57" s="12" t="n">
        <x:f>G57/E57</x:f>
        <x:v>79.61692923028959</x:v>
      </x:c>
      <x:c r="I57" s="11" t="n">
        <x:f>H57*F57</x:f>
        <x:v>51133.175851322245</x:v>
      </x:c>
      <x:c r="J57" s="10" t="n">
        <x:v>71.4684631677</x:v>
      </x:c>
      <x:c r="K57" s="10" t="n">
        <x:v>778.570007324</x:v>
      </x:c>
      <x:c r="L57" s="11" t="n">
        <x:f>G57*K57/J57</x:f>
        <x:v>10893.896032115505</x:v>
      </x:c>
      <x:c r="M57" s="2" t="str">
        <x:v>current price</x:v>
      </x:c>
      <x:c r="N57" s="8" t="d">
        <x:v>2026-10-09T00:00:00.000Z</x:v>
      </x:c>
      <x:c r="O57" s="11" t="n">
        <x:f>I57-L57</x:f>
        <x:v>40239.27981920674</x:v>
      </x:c>
    </x:row>
    <x:row r="58" ht="22" customHeight="1">
      <x:c r="A58" s="8" t="d">
        <x:v>2002-04-01T00:00:00.000Z</x:v>
      </x:c>
      <x:c r="B58" s="8" t="d">
        <x:v>2002-03-28T00:00:00.000Z</x:v>
      </x:c>
      <x:c r="C58" s="2" t="str">
        <x:v>AES</x:v>
      </x:c>
      <x:c r="D58" s="9" t="n">
        <x:v>0.7441860981</x:v>
      </x:c>
      <x:c r="E58" s="10" t="n">
        <x:v>5.4511466506</x:v>
      </x:c>
      <x:c r="F58" s="10" t="n">
        <x:v>14.9399995804</x:v>
      </x:c>
      <x:c r="G58" s="11" t="n">
        <x:f>'Summary'!$C$18</x:f>
        <x:v>1000</x:v>
      </x:c>
      <x:c r="H58" s="12" t="n">
        <x:f>G58/E58</x:f>
        <x:v>183.44764213781175</x:v>
      </x:c>
      <x:c r="I58" s="11" t="n">
        <x:f>H58*F58</x:f>
        <x:v>2740.707696564277</x:v>
      </x:c>
      <x:c r="J58" s="10" t="n">
        <x:v>73.2834651363</x:v>
      </x:c>
      <x:c r="K58" s="10" t="n">
        <x:v>778.570007324</x:v>
      </x:c>
      <x:c r="L58" s="11" t="n">
        <x:f>G58*K58/J58</x:f>
        <x:v>10624.088338016452</x:v>
      </x:c>
      <x:c r="M58" s="2" t="str">
        <x:v>current price</x:v>
      </x:c>
      <x:c r="N58" s="8" t="d">
        <x:v>2026-10-09T00:00:00.000Z</x:v>
      </x:c>
      <x:c r="O58" s="11" t="n">
        <x:f>I58-L58</x:f>
        <x:v>-7883.380641452175</x:v>
      </x:c>
    </x:row>
    <x:row r="59" ht="22" customHeight="1">
      <x:c r="A59" s="8" t="d">
        <x:v>2002-05-01T00:00:00.000Z</x:v>
      </x:c>
      <x:c r="B59" s="8" t="d">
        <x:v>2002-04-30T00:00:00.000Z</x:v>
      </x:c>
      <x:c r="C59" s="2" t="str">
        <x:v>AET-201811</x:v>
      </x:c>
      <x:c r="D59" s="9" t="n">
        <x:v>0.2261720763</x:v>
      </x:c>
      <x:c r="E59" s="10" t="n">
        <x:v>10.8429803417</x:v>
      </x:c>
      <x:c r="F59" s="10" t="n">
        <x:v>0</x:v>
      </x:c>
      <x:c r="G59" s="11" t="n">
        <x:f>'Summary'!$C$18</x:f>
        <x:v>1000</x:v>
      </x:c>
      <x:c r="H59" s="12" t="n">
        <x:f>G59/E59</x:f>
        <x:v>92.2255660792996</x:v>
      </x:c>
      <x:c r="I59" s="11" t="n">
        <x:f>H59*F59</x:f>
        <x:v>0</x:v>
      </x:c>
      <x:c r="J59" s="10" t="n">
        <x:v>69.2674042523</x:v>
      </x:c>
      <x:c r="K59" s="10" t="n">
        <x:v>778.570007324</x:v>
      </x:c>
      <x:c r="L59" s="11" t="n">
        <x:f>G59*K59/J59</x:f>
        <x:v>11240.063284140577</x:v>
      </x:c>
      <x:c r="M59" s="2" t="str">
        <x:v>written off ($0 rule)</x:v>
      </x:c>
      <x:c r="N59" s="8" t="d">
        <x:v>2018-11-28T00:00:00.000Z</x:v>
      </x:c>
      <x:c r="O59" s="11" t="n">
        <x:f>I59-L59</x:f>
        <x:v>-11240.063284140577</x:v>
      </x:c>
    </x:row>
    <x:row r="60" ht="22" customHeight="1">
      <x:c r="A60" s="8" t="d">
        <x:v>2002-06-03T00:00:00.000Z</x:v>
      </x:c>
      <x:c r="B60" s="8" t="d">
        <x:v>2002-05-31T00:00:00.000Z</x:v>
      </x:c>
      <x:c r="C60" s="2" t="str">
        <x:v>DDS</x:v>
      </x:c>
      <x:c r="D60" s="9" t="n">
        <x:v>0.226214821</x:v>
      </x:c>
      <x:c r="E60" s="10" t="n">
        <x:v>19.2931500121</x:v>
      </x:c>
      <x:c r="F60" s="10" t="n">
        <x:v>642.239990234</x:v>
      </x:c>
      <x:c r="G60" s="11" t="n">
        <x:f>'Summary'!$C$18</x:f>
        <x:v>1000</x:v>
      </x:c>
      <x:c r="H60" s="12" t="n">
        <x:f>G60/E60</x:f>
        <x:v>51.83186775476448</x:v>
      </x:c>
      <x:c r="I60" s="11" t="n">
        <x:f>H60*F60</x:f>
        <x:v>33288.49824062992</x:v>
      </x:c>
      <x:c r="J60" s="10" t="n">
        <x:v>68.7028432323</x:v>
      </x:c>
      <x:c r="K60" s="10" t="n">
        <x:v>778.570007324</x:v>
      </x:c>
      <x:c r="L60" s="11" t="n">
        <x:f>G60*K60/J60</x:f>
        <x:v>11332.427752538233</x:v>
      </x:c>
      <x:c r="M60" s="2" t="str">
        <x:v>current price</x:v>
      </x:c>
      <x:c r="N60" s="8" t="d">
        <x:v>2026-10-09T00:00:00.000Z</x:v>
      </x:c>
      <x:c r="O60" s="11" t="n">
        <x:f>I60-L60</x:f>
        <x:v>21956.070488091682</x:v>
      </x:c>
    </x:row>
    <x:row r="61" ht="22" customHeight="1">
      <x:c r="A61" s="8" t="d">
        <x:v>2002-07-01T00:00:00.000Z</x:v>
      </x:c>
      <x:c r="B61" s="8" t="d">
        <x:v>2002-06-28T00:00:00.000Z</x:v>
      </x:c>
      <x:c r="C61" s="2" t="str">
        <x:v>WOR</x:v>
      </x:c>
      <x:c r="D61" s="9" t="n">
        <x:v>0.1996733429</x:v>
      </x:c>
      <x:c r="E61" s="10" t="n">
        <x:v>5.929833352</x:v>
      </x:c>
      <x:c r="F61" s="10" t="n">
        <x:v>62.4500007629</x:v>
      </x:c>
      <x:c r="G61" s="11" t="n">
        <x:f>'Summary'!$C$18</x:f>
        <x:v>1000</x:v>
      </x:c>
      <x:c r="H61" s="12" t="n">
        <x:f>G61/E61</x:f>
        <x:v>168.6388032578896</x:v>
      </x:c>
      <x:c r="I61" s="11" t="n">
        <x:f>H61*F61</x:f>
        <x:v>10531.493392109749</x:v>
      </x:c>
      <x:c r="J61" s="10" t="n">
        <x:v>63.8509393841</x:v>
      </x:c>
      <x:c r="K61" s="10" t="n">
        <x:v>778.570007324</x:v>
      </x:c>
      <x:c r="L61" s="11" t="n">
        <x:f>G61*K61/J61</x:f>
        <x:v>12193.556035886255</x:v>
      </x:c>
      <x:c r="M61" s="2" t="str">
        <x:v>current price</x:v>
      </x:c>
      <x:c r="N61" s="8" t="d">
        <x:v>2026-10-09T00:00:00.000Z</x:v>
      </x:c>
      <x:c r="O61" s="11" t="n">
        <x:f>I61-L61</x:f>
        <x:v>-1662.0626437765059</x:v>
      </x:c>
    </x:row>
    <x:row r="62" ht="22" customHeight="1">
      <x:c r="A62" s="8" t="d">
        <x:v>2002-08-01T00:00:00.000Z</x:v>
      </x:c>
      <x:c r="B62" s="8" t="d">
        <x:v>2002-07-31T00:00:00.000Z</x:v>
      </x:c>
      <x:c r="C62" s="2" t="str">
        <x:v>HSY</x:v>
      </x:c>
      <x:c r="D62" s="9" t="n">
        <x:v>0.2553599854</x:v>
      </x:c>
      <x:c r="E62" s="10" t="n">
        <x:v>21.5893939888</x:v>
      </x:c>
      <x:c r="F62" s="10" t="n">
        <x:v>162.740005493</x:v>
      </x:c>
      <x:c r="G62" s="11" t="n">
        <x:f>'Summary'!$C$18</x:f>
        <x:v>1000</x:v>
      </x:c>
      <x:c r="H62" s="12" t="n">
        <x:f>G62/E62</x:f>
        <x:v>46.31903982662845</x:v>
      </x:c>
      <x:c r="I62" s="11" t="n">
        <x:f>H62*F62</x:f>
        <x:v>7537.9607958159995</x:v>
      </x:c>
      <x:c r="J62" s="10" t="n">
        <x:v>58.5074932244</x:v>
      </x:c>
      <x:c r="K62" s="10" t="n">
        <x:v>778.570007324</x:v>
      </x:c>
      <x:c r="L62" s="11" t="n">
        <x:f>G62*K62/J62</x:f>
        <x:v>13307.184506057503</x:v>
      </x:c>
      <x:c r="M62" s="2" t="str">
        <x:v>current price</x:v>
      </x:c>
      <x:c r="N62" s="8" t="d">
        <x:v>2026-10-09T00:00:00.000Z</x:v>
      </x:c>
      <x:c r="O62" s="11" t="n">
        <x:f>I62-L62</x:f>
        <x:v>-5769.223710241504</x:v>
      </x:c>
    </x:row>
    <x:row r="63" ht="22" customHeight="1">
      <x:c r="A63" s="8" t="d">
        <x:v>2002-09-03T00:00:00.000Z</x:v>
      </x:c>
      <x:c r="B63" s="8" t="d">
        <x:v>2002-08-30T00:00:00.000Z</x:v>
      </x:c>
      <x:c r="C63" s="2" t="str">
        <x:v>MDR</x:v>
      </x:c>
      <x:c r="D63" s="9" t="n">
        <x:v>0.5031982942</x:v>
      </x:c>
      <x:c r="E63" s="10" t="n">
        <x:v>5.6158645207</x:v>
      </x:c>
      <x:c r="F63" s="10" t="n">
        <x:v>0</x:v>
      </x:c>
      <x:c r="G63" s="11" t="n">
        <x:f>'Summary'!$C$18</x:f>
        <x:v>1000</x:v>
      </x:c>
      <x:c r="H63" s="12" t="n">
        <x:f>G63/E63</x:f>
        <x:v>178.0669737159815</x:v>
      </x:c>
      <x:c r="I63" s="11" t="n">
        <x:f>H63*F63</x:f>
        <x:v>0</x:v>
      </x:c>
      <x:c r="J63" s="10" t="n">
        <x:v>58.4109288852</x:v>
      </x:c>
      <x:c r="K63" s="10" t="n">
        <x:v>778.570007324</x:v>
      </x:c>
      <x:c r="L63" s="11" t="n">
        <x:f>G63*K63/J63</x:f>
        <x:v>13329.183804869639</x:v>
      </x:c>
      <x:c r="M63" s="2" t="str">
        <x:v>written off ($0 rule)</x:v>
      </x:c>
      <x:c r="N63" s="8" t="d">
        <x:v>2020-01-22T00:00:00.000Z</x:v>
      </x:c>
      <x:c r="O63" s="11" t="n">
        <x:f>I63-L63</x:f>
        <x:v>-13329.183804869639</x:v>
      </x:c>
    </x:row>
    <x:row r="64" ht="22" customHeight="1">
      <x:c r="A64" s="8" t="d">
        <x:v>2002-10-01T00:00:00.000Z</x:v>
      </x:c>
      <x:c r="B64" s="8" t="d">
        <x:v>2002-09-30T00:00:00.000Z</x:v>
      </x:c>
      <x:c r="C64" s="2" t="str">
        <x:v>FRX-201406</x:v>
      </x:c>
      <x:c r="D64" s="9" t="n">
        <x:v>0.1234246575</x:v>
      </x:c>
      <x:c r="E64" s="10" t="n">
        <x:v>42.95</x:v>
      </x:c>
      <x:c r="F64" s="10" t="n">
        <x:v>0</x:v>
      </x:c>
      <x:c r="G64" s="11" t="n">
        <x:f>'Summary'!$C$18</x:f>
        <x:v>1000</x:v>
      </x:c>
      <x:c r="H64" s="12" t="n">
        <x:f>G64/E64</x:f>
        <x:v>23.28288707799767</x:v>
      </x:c>
      <x:c r="I64" s="11" t="n">
        <x:f>H64*F64</x:f>
        <x:v>0</x:v>
      </x:c>
      <x:c r="J64" s="10" t="n">
        <x:v>53.305374488</x:v>
      </x:c>
      <x:c r="K64" s="10" t="n">
        <x:v>778.570007324</x:v>
      </x:c>
      <x:c r="L64" s="11" t="n">
        <x:f>G64*K64/J64</x:f>
        <x:v>14605.844435053545</x:v>
      </x:c>
      <x:c r="M64" s="2" t="str">
        <x:v>written off ($0 rule)</x:v>
      </x:c>
      <x:c r="N64" s="8" t="d">
        <x:v>2014-06-30T00:00:00.000Z</x:v>
      </x:c>
      <x:c r="O64" s="11" t="n">
        <x:f>I64-L64</x:f>
        <x:v>-14605.844435053545</x:v>
      </x:c>
    </x:row>
    <x:row r="65" ht="22" customHeight="1">
      <x:c r="A65" s="8" t="d">
        <x:v>2002-11-01T00:00:00.000Z</x:v>
      </x:c>
      <x:c r="B65" s="8" t="d">
        <x:v>2002-10-31T00:00:00.000Z</x:v>
      </x:c>
      <x:c r="C65" s="2" t="str">
        <x:v>MWW-201610</x:v>
      </x:c>
      <x:c r="D65" s="9" t="n">
        <x:v>0.72</x:v>
      </x:c>
      <x:c r="E65" s="10" t="n">
        <x:v>15.23</x:v>
      </x:c>
      <x:c r="F65" s="10" t="n">
        <x:v>0</x:v>
      </x:c>
      <x:c r="G65" s="11" t="n">
        <x:f>'Summary'!$C$18</x:f>
        <x:v>1000</x:v>
      </x:c>
      <x:c r="H65" s="12" t="n">
        <x:f>G65/E65</x:f>
        <x:v>65.65988181221273</x:v>
      </x:c>
      <x:c r="I65" s="11" t="n">
        <x:f>H65*F65</x:f>
        <x:v>0</x:v>
      </x:c>
      <x:c r="J65" s="10" t="n">
        <x:v>57.1336860032</x:v>
      </x:c>
      <x:c r="K65" s="10" t="n">
        <x:v>778.570007324</x:v>
      </x:c>
      <x:c r="L65" s="11" t="n">
        <x:f>G65*K65/J65</x:f>
        <x:v>13627.162218807187</x:v>
      </x:c>
      <x:c r="M65" s="2" t="str">
        <x:v>written off ($0 rule)</x:v>
      </x:c>
      <x:c r="N65" s="8" t="d">
        <x:v>2016-10-31T00:00:00.000Z</x:v>
      </x:c>
      <x:c r="O65" s="11" t="n">
        <x:f>I65-L65</x:f>
        <x:v>-13627.162218807187</x:v>
      </x:c>
    </x:row>
    <x:row r="66" ht="22" customHeight="1">
      <x:c r="A66" s="8" t="d">
        <x:v>2002-12-02T00:00:00.000Z</x:v>
      </x:c>
      <x:c r="B66" s="8" t="d">
        <x:v>2002-11-29T00:00:00.000Z</x:v>
      </x:c>
      <x:c r="C66" s="2" t="str">
        <x:v>SEE</x:v>
      </x:c>
      <x:c r="D66" s="9" t="n">
        <x:v>1.4934725849</x:v>
      </x:c>
      <x:c r="E66" s="10" t="n">
        <x:v>13.019097235</x:v>
      </x:c>
      <x:c r="F66" s="10" t="n">
        <x:v>0</x:v>
      </x:c>
      <x:c r="G66" s="11" t="n">
        <x:f>'Summary'!$C$18</x:f>
        <x:v>1000</x:v>
      </x:c>
      <x:c r="H66" s="12" t="n">
        <x:f>G66/E66</x:f>
        <x:v>76.8102412901289</x:v>
      </x:c>
      <x:c r="I66" s="11" t="n">
        <x:f>H66*F66</x:f>
        <x:v>0</x:v>
      </x:c>
      <x:c r="J66" s="10" t="n">
        <x:v>61.7380098095</x:v>
      </x:c>
      <x:c r="K66" s="10" t="n">
        <x:v>778.570007324</x:v>
      </x:c>
      <x:c r="L66" s="11" t="n">
        <x:f>G66*K66/J66</x:f>
        <x:v>12610.869863255566</x:v>
      </x:c>
      <x:c r="M66" s="2" t="str">
        <x:v>written off ($0 rule)</x:v>
      </x:c>
      <x:c r="N66" s="8" t="d">
        <x:v>2026-04-08T00:00:00.000Z</x:v>
      </x:c>
      <x:c r="O66" s="11" t="n">
        <x:f>I66-L66</x:f>
        <x:v>-12610.869863255566</x:v>
      </x:c>
    </x:row>
    <x:row r="67" ht="22" customHeight="1">
      <x:c r="A67" s="8" t="d">
        <x:v>2003-01-02T00:00:00.000Z</x:v>
      </x:c>
      <x:c r="B67" s="8" t="d">
        <x:v>2002-12-31T00:00:00.000Z</x:v>
      </x:c>
      <x:c r="C67" s="2" t="str">
        <x:v>AES</x:v>
      </x:c>
      <x:c r="D67" s="9" t="n">
        <x:v>0.4245283698</x:v>
      </x:c>
      <x:c r="E67" s="10" t="n">
        <x:v>1.9063438216</x:v>
      </x:c>
      <x:c r="F67" s="10" t="n">
        <x:v>14.9399995804</x:v>
      </x:c>
      <x:c r="G67" s="11" t="n">
        <x:f>'Summary'!$C$18</x:f>
        <x:v>1000</x:v>
      </x:c>
      <x:c r="H67" s="12" t="n">
        <x:f>G67/E67</x:f>
        <x:v>524.5643459849216</x:v>
      </x:c>
      <x:c r="I67" s="11" t="n">
        <x:f>H67*F67</x:f>
        <x:v>7836.991108907529</x:v>
      </x:c>
      <x:c r="J67" s="10" t="n">
        <x:v>57.7393736718</x:v>
      </x:c>
      <x:c r="K67" s="10" t="n">
        <x:v>778.570007324</x:v>
      </x:c>
      <x:c r="L67" s="11" t="n">
        <x:f>G67*K67/J67</x:f>
        <x:v>13484.212900360137</x:v>
      </x:c>
      <x:c r="M67" s="2" t="str">
        <x:v>current price</x:v>
      </x:c>
      <x:c r="N67" s="8" t="d">
        <x:v>2026-10-09T00:00:00.000Z</x:v>
      </x:c>
      <x:c r="O67" s="11" t="n">
        <x:f>I67-L67</x:f>
        <x:v>-5647.221791452607</x:v>
      </x:c>
    </x:row>
    <x:row r="68" ht="22" customHeight="1">
      <x:c r="A68" s="8" t="d">
        <x:v>2003-02-03T00:00:00.000Z</x:v>
      </x:c>
      <x:c r="B68" s="8" t="d">
        <x:v>2003-01-31T00:00:00.000Z</x:v>
      </x:c>
      <x:c r="C68" s="2" t="str">
        <x:v>EMC-201609</x:v>
      </x:c>
      <x:c r="D68" s="9" t="n">
        <x:v>0.2540716612</x:v>
      </x:c>
      <x:c r="E68" s="10" t="n">
        <x:v>7.3475819043</x:v>
      </x:c>
      <x:c r="F68" s="10" t="n">
        <x:v>0</x:v>
      </x:c>
      <x:c r="G68" s="11" t="n">
        <x:f>'Summary'!$C$18</x:f>
        <x:v>1000</x:v>
      </x:c>
      <x:c r="H68" s="12" t="n">
        <x:f>G68/E68</x:f>
        <x:v>136.09919739918428</x:v>
      </x:c>
      <x:c r="I68" s="11" t="n">
        <x:f>H68*F68</x:f>
        <x:v>0</x:v>
      </x:c>
      <x:c r="J68" s="10" t="n">
        <x:v>55.9782746006</x:v>
      </x:c>
      <x:c r="K68" s="10" t="n">
        <x:v>778.570007324</x:v>
      </x:c>
      <x:c r="L68" s="11" t="n">
        <x:f>G68*K68/J68</x:f>
        <x:v>13908.431670662012</x:v>
      </x:c>
      <x:c r="M68" s="2" t="str">
        <x:v>written off ($0 rule)</x:v>
      </x:c>
      <x:c r="N68" s="8" t="d">
        <x:v>2016-09-06T00:00:00.000Z</x:v>
      </x:c>
      <x:c r="O68" s="11" t="n">
        <x:f>I68-L68</x:f>
        <x:v>-13908.431670662012</x:v>
      </x:c>
    </x:row>
    <x:row r="69" ht="22" customHeight="1">
      <x:c r="A69" s="8" t="d">
        <x:v>2003-03-03T00:00:00.000Z</x:v>
      </x:c>
      <x:c r="B69" s="8" t="d">
        <x:v>2003-02-28T00:00:00.000Z</x:v>
      </x:c>
      <x:c r="C69" s="2" t="str">
        <x:v>NVDA</x:v>
      </x:c>
      <x:c r="D69" s="9" t="n">
        <x:v>0.2228720688</x:v>
      </x:c>
      <x:c r="E69" s="10" t="n">
        <x:v>0.0973389955</x:v>
      </x:c>
      <x:c r="F69" s="10" t="n">
        <x:v>229.279998779</x:v>
      </x:c>
      <x:c r="G69" s="11" t="n">
        <x:f>'Summary'!$C$18</x:f>
        <x:v>1000</x:v>
      </x:c>
      <x:c r="H69" s="12" t="n">
        <x:f>G69/E69</x:f>
        <x:v>10273.374970260506</x:v>
      </x:c>
      <x:c r="I69" s="11" t="n">
        <x:f>H69*F69</x:f>
        <x:v>2355479.400637538</x:v>
      </x:c>
      <x:c r="J69" s="10" t="n">
        <x:v>55.4064063832</x:v>
      </x:c>
      <x:c r="K69" s="10" t="n">
        <x:v>778.570007324</x:v>
      </x:c>
      <x:c r="L69" s="11" t="n">
        <x:f>G69*K69/J69</x:f>
        <x:v>14051.985287392206</x:v>
      </x:c>
      <x:c r="M69" s="2" t="str">
        <x:v>current price</x:v>
      </x:c>
      <x:c r="N69" s="8" t="d">
        <x:v>2026-10-09T00:00:00.000Z</x:v>
      </x:c>
      <x:c r="O69" s="11" t="n">
        <x:f>I69-L69</x:f>
        <x:v>2341427.415350146</x:v>
      </x:c>
    </x:row>
    <x:row r="70" ht="22" customHeight="1">
      <x:c r="A70" s="8" t="d">
        <x:v>2003-04-01T00:00:00.000Z</x:v>
      </x:c>
      <x:c r="B70" s="8" t="d">
        <x:v>2003-03-31T00:00:00.000Z</x:v>
      </x:c>
      <x:c r="C70" s="2" t="str">
        <x:v>CNP</x:v>
      </x:c>
      <x:c r="D70" s="9" t="n">
        <x:v>0.5401945822</x:v>
      </x:c>
      <x:c r="E70" s="10" t="n">
        <x:v>2.9620692447</x:v>
      </x:c>
      <x:c r="F70" s="10" t="n">
        <x:v>38.5999984741</x:v>
      </x:c>
      <x:c r="G70" s="11" t="n">
        <x:f>'Summary'!$C$18</x:f>
        <x:v>1000</x:v>
      </x:c>
      <x:c r="H70" s="12" t="n">
        <x:f>G70/E70</x:f>
        <x:v>337.60183081110944</x:v>
      </x:c>
      <x:c r="I70" s="11" t="n">
        <x:f>H70*F70</x:f>
        <x:v>13031.43015416219</x:v>
      </x:c>
      <x:c r="J70" s="10" t="n">
        <x:v>55.6232830105</x:v>
      </x:c>
      <x:c r="K70" s="10" t="n">
        <x:v>778.570007324</x:v>
      </x:c>
      <x:c r="L70" s="11" t="n">
        <x:f>G70*K70/J70</x:f>
        <x:v>13997.196231244197</x:v>
      </x:c>
      <x:c r="M70" s="2" t="str">
        <x:v>current price</x:v>
      </x:c>
      <x:c r="N70" s="8" t="d">
        <x:v>2026-10-09T00:00:00.000Z</x:v>
      </x:c>
      <x:c r="O70" s="11" t="n">
        <x:f>I70-L70</x:f>
        <x:v>-965.7660770820075</x:v>
      </x:c>
    </x:row>
    <x:row r="71" ht="22" customHeight="1">
      <x:c r="A71" s="8" t="d">
        <x:v>2003-05-01T00:00:00.000Z</x:v>
      </x:c>
      <x:c r="B71" s="8" t="d">
        <x:v>2003-04-30T00:00:00.000Z</x:v>
      </x:c>
      <x:c r="C71" s="2" t="str">
        <x:v>AES</x:v>
      </x:c>
      <x:c r="D71" s="9" t="n">
        <x:v>0.6602211102</x:v>
      </x:c>
      <x:c r="E71" s="10" t="n">
        <x:v>3.8002278913</x:v>
      </x:c>
      <x:c r="F71" s="10" t="n">
        <x:v>14.9399995804</x:v>
      </x:c>
      <x:c r="G71" s="11" t="n">
        <x:f>'Summary'!$C$18</x:f>
        <x:v>1000</x:v>
      </x:c>
      <x:c r="H71" s="12" t="n">
        <x:f>G71/E71</x:f>
        <x:v>263.14211373726727</x:v>
      </x:c>
      <x:c r="I71" s="11" t="n">
        <x:f>H71*F71</x:f>
        <x:v>3931.343068820342</x:v>
      </x:c>
      <x:c r="J71" s="10" t="n">
        <x:v>59.9752735773</x:v>
      </x:c>
      <x:c r="K71" s="10" t="n">
        <x:v>778.570007324</x:v>
      </x:c>
      <x:c r="L71" s="11" t="n">
        <x:f>G71*K71/J71</x:f>
        <x:v>12981.516563163797</x:v>
      </x:c>
      <x:c r="M71" s="2" t="str">
        <x:v>current price</x:v>
      </x:c>
      <x:c r="N71" s="8" t="d">
        <x:v>2026-10-09T00:00:00.000Z</x:v>
      </x:c>
      <x:c r="O71" s="11" t="n">
        <x:f>I71-L71</x:f>
        <x:v>-9050.173494343455</x:v>
      </x:c>
    </x:row>
    <x:row r="72" ht="22" customHeight="1">
      <x:c r="A72" s="8" t="d">
        <x:v>2003-06-02T00:00:00.000Z</x:v>
      </x:c>
      <x:c r="B72" s="8" t="d">
        <x:v>2003-05-30T00:00:00.000Z</x:v>
      </x:c>
      <x:c r="C72" s="2" t="str">
        <x:v>MDR</x:v>
      </x:c>
      <x:c r="D72" s="9" t="n">
        <x:v>0.8676923077</x:v>
      </x:c>
      <x:c r="E72" s="10" t="n">
        <x:v>4.83719423</x:v>
      </x:c>
      <x:c r="F72" s="10" t="n">
        <x:v>0</x:v>
      </x:c>
      <x:c r="G72" s="11" t="n">
        <x:f>'Summary'!$C$18</x:f>
        <x:v>1000</x:v>
      </x:c>
      <x:c r="H72" s="12" t="n">
        <x:f>G72/E72</x:f>
        <x:v>206.73141338796313</x:v>
      </x:c>
      <x:c r="I72" s="11" t="n">
        <x:f>H72*F72</x:f>
        <x:v>0</x:v>
      </x:c>
      <x:c r="J72" s="10" t="n">
        <x:v>63.6356448576</x:v>
      </x:c>
      <x:c r="K72" s="10" t="n">
        <x:v>778.570007324</x:v>
      </x:c>
      <x:c r="L72" s="11" t="n">
        <x:f>G72*K72/J72</x:f>
        <x:v>12234.809736999396</x:v>
      </x:c>
      <x:c r="M72" s="2" t="str">
        <x:v>written off ($0 rule)</x:v>
      </x:c>
      <x:c r="N72" s="8" t="d">
        <x:v>2020-01-22T00:00:00.000Z</x:v>
      </x:c>
      <x:c r="O72" s="11" t="n">
        <x:f>I72-L72</x:f>
        <x:v>-12234.809736999396</x:v>
      </x:c>
    </x:row>
    <x:row r="73" ht="22" customHeight="1">
      <x:c r="A73" s="8" t="d">
        <x:v>2003-07-01T00:00:00.000Z</x:v>
      </x:c>
      <x:c r="B73" s="8" t="d">
        <x:v>2003-06-30T00:00:00.000Z</x:v>
      </x:c>
      <x:c r="C73" s="2" t="str">
        <x:v>PCG</x:v>
      </x:c>
      <x:c r="D73" s="9" t="n">
        <x:v>0.2441176246</x:v>
      </x:c>
      <x:c r="E73" s="10" t="n">
        <x:v>12.6879553044</x:v>
      </x:c>
      <x:c r="F73" s="10" t="n">
        <x:v>13.1300001144</x:v>
      </x:c>
      <x:c r="G73" s="11" t="n">
        <x:f>'Summary'!$C$18</x:f>
        <x:v>1000</x:v>
      </x:c>
      <x:c r="H73" s="12" t="n">
        <x:f>G73/E73</x:f>
        <x:v>78.8149056336299</x:v>
      </x:c>
      <x:c r="I73" s="11" t="n">
        <x:f>H73*F73</x:f>
        <x:v>1034.8397199859858</x:v>
      </x:c>
      <x:c r="J73" s="10" t="n">
        <x:v>63.6821632997</x:v>
      </x:c>
      <x:c r="K73" s="10" t="n">
        <x:v>778.570007324</x:v>
      </x:c>
      <x:c r="L73" s="11" t="n">
        <x:f>G73*K73/J73</x:f>
        <x:v>12225.87247326863</x:v>
      </x:c>
      <x:c r="M73" s="2" t="str">
        <x:v>current price</x:v>
      </x:c>
      <x:c r="N73" s="8" t="d">
        <x:v>2026-10-09T00:00:00.000Z</x:v>
      </x:c>
      <x:c r="O73" s="11" t="n">
        <x:f>I73-L73</x:f>
        <x:v>-11191.032753282643</x:v>
      </x:c>
    </x:row>
    <x:row r="74" ht="22" customHeight="1">
      <x:c r="A74" s="8" t="d">
        <x:v>2003-08-01T00:00:00.000Z</x:v>
      </x:c>
      <x:c r="B74" s="8" t="d">
        <x:v>2003-07-31T00:00:00.000Z</x:v>
      </x:c>
      <x:c r="C74" s="2" t="str">
        <x:v>MWW-201610</x:v>
      </x:c>
      <x:c r="D74" s="9" t="n">
        <x:v>0.3456664977</x:v>
      </x:c>
      <x:c r="E74" s="10" t="n">
        <x:v>25.14</x:v>
      </x:c>
      <x:c r="F74" s="10" t="n">
        <x:v>0</x:v>
      </x:c>
      <x:c r="G74" s="11" t="n">
        <x:f>'Summary'!$C$18</x:f>
        <x:v>1000</x:v>
      </x:c>
      <x:c r="H74" s="12" t="n">
        <x:f>G74/E74</x:f>
        <x:v>39.777247414478914</x:v>
      </x:c>
      <x:c r="I74" s="11" t="n">
        <x:f>H74*F74</x:f>
        <x:v>0</x:v>
      </x:c>
      <x:c r="J74" s="10" t="n">
        <x:v>64.9525340173</x:v>
      </x:c>
      <x:c r="K74" s="10" t="n">
        <x:v>778.570007324</x:v>
      </x:c>
      <x:c r="L74" s="11" t="n">
        <x:f>G74*K74/J74</x:f>
        <x:v>11986.753390046788</x:v>
      </x:c>
      <x:c r="M74" s="2" t="str">
        <x:v>written off ($0 rule)</x:v>
      </x:c>
      <x:c r="N74" s="8" t="d">
        <x:v>2016-10-31T00:00:00.000Z</x:v>
      </x:c>
      <x:c r="O74" s="11" t="n">
        <x:f>I74-L74</x:f>
        <x:v>-11986.753390046788</x:v>
      </x:c>
    </x:row>
    <x:row r="75" ht="22" customHeight="1">
      <x:c r="A75" s="8" t="d">
        <x:v>2003-09-02T00:00:00.000Z</x:v>
      </x:c>
      <x:c r="B75" s="8" t="d">
        <x:v>2003-08-29T00:00:00.000Z</x:v>
      </x:c>
      <x:c r="C75" s="2" t="str">
        <x:v>AMD</x:v>
      </x:c>
      <x:c r="D75" s="9" t="n">
        <x:v>0.5465752968</x:v>
      </x:c>
      <x:c r="E75" s="10" t="n">
        <x:v>11.4799995422</x:v>
      </x:c>
      <x:c r="F75" s="10" t="n">
        <x:v>608.099975586</x:v>
      </x:c>
      <x:c r="G75" s="11" t="n">
        <x:f>'Summary'!$C$18</x:f>
        <x:v>1000</x:v>
      </x:c>
      <x:c r="H75" s="12" t="n">
        <x:f>G75/E75</x:f>
        <x:v>87.10801741098</x:v>
      </x:c>
      <x:c r="I75" s="11" t="n">
        <x:f>H75*F75</x:f>
        <x:v>52970.383260961804</x:v>
      </x:c>
      <x:c r="J75" s="10" t="n">
        <x:v>66.5568641535</x:v>
      </x:c>
      <x:c r="K75" s="10" t="n">
        <x:v>778.570007324</x:v>
      </x:c>
      <x:c r="L75" s="11" t="n">
        <x:f>G75*K75/J75</x:f>
        <x:v>11697.816855198964</x:v>
      </x:c>
      <x:c r="M75" s="2" t="str">
        <x:v>current price</x:v>
      </x:c>
      <x:c r="N75" s="8" t="d">
        <x:v>2026-10-09T00:00:00.000Z</x:v>
      </x:c>
      <x:c r="O75" s="11" t="n">
        <x:f>I75-L75</x:f>
        <x:v>41272.56640576284</x:v>
      </x:c>
    </x:row>
    <x:row r="76" ht="22" customHeight="1">
      <x:c r="A76" s="8" t="d">
        <x:v>2003-10-01T00:00:00.000Z</x:v>
      </x:c>
      <x:c r="B76" s="8" t="d">
        <x:v>2003-09-30T00:00:00.000Z</x:v>
      </x:c>
      <x:c r="C76" s="2" t="str">
        <x:v>RAI-201707</x:v>
      </x:c>
      <x:c r="D76" s="9" t="n">
        <x:v>0.1900516433</x:v>
      </x:c>
      <x:c r="E76" s="10" t="n">
        <x:v>2.4199240794</x:v>
      </x:c>
      <x:c r="F76" s="10" t="n">
        <x:v>0</x:v>
      </x:c>
      <x:c r="G76" s="11" t="n">
        <x:f>'Summary'!$C$18</x:f>
        <x:v>1000</x:v>
      </x:c>
      <x:c r="H76" s="12" t="n">
        <x:f>G76/E76</x:f>
        <x:v>413.2361046004145</x:v>
      </x:c>
      <x:c r="I76" s="11" t="n">
        <x:f>H76*F76</x:f>
        <x:v>0</x:v>
      </x:c>
      <x:c r="J76" s="10" t="n">
        <x:v>65.892079297</x:v>
      </x:c>
      <x:c r="K76" s="10" t="n">
        <x:v>778.570007324</x:v>
      </x:c>
      <x:c r="L76" s="11" t="n">
        <x:f>G76*K76/J76</x:f>
        <x:v>11815.836070595022</x:v>
      </x:c>
      <x:c r="M76" s="2" t="str">
        <x:v>written off ($0 rule)</x:v>
      </x:c>
      <x:c r="N76" s="8" t="d">
        <x:v>2017-07-24T00:00:00.000Z</x:v>
      </x:c>
      <x:c r="O76" s="11" t="n">
        <x:f>I76-L76</x:f>
        <x:v>-11815.836070595022</x:v>
      </x:c>
    </x:row>
    <x:row r="77" ht="22" customHeight="1">
      <x:c r="A77" s="8" t="d">
        <x:v>2003-11-03T00:00:00.000Z</x:v>
      </x:c>
      <x:c r="B77" s="8" t="d">
        <x:v>2003-10-31T00:00:00.000Z</x:v>
      </x:c>
      <x:c r="C77" s="2" t="str">
        <x:v>LPX</x:v>
      </x:c>
      <x:c r="D77" s="9" t="n">
        <x:v>0.3802613081</x:v>
      </x:c>
      <x:c r="E77" s="10" t="n">
        <x:v>14.7327774326</x:v>
      </x:c>
      <x:c r="F77" s="10" t="n">
        <x:v>65.6900024414</x:v>
      </x:c>
      <x:c r="G77" s="11" t="n">
        <x:f>'Summary'!$C$18</x:f>
        <x:v>1000</x:v>
      </x:c>
      <x:c r="H77" s="12" t="n">
        <x:f>G77/E77</x:f>
        <x:v>67.87586417936694</x:v>
      </x:c>
      <x:c r="I77" s="11" t="n">
        <x:f>H77*F77</x:f>
        <x:v>4458.765683654749</x:v>
      </x:c>
      <x:c r="J77" s="10" t="n">
        <x:v>69.5140416413</x:v>
      </x:c>
      <x:c r="K77" s="10" t="n">
        <x:v>778.570007324</x:v>
      </x:c>
      <x:c r="L77" s="11" t="n">
        <x:f>G77*K77/J77</x:f>
        <x:v>11200.183285867706</x:v>
      </x:c>
      <x:c r="M77" s="2" t="str">
        <x:v>current price</x:v>
      </x:c>
      <x:c r="N77" s="8" t="d">
        <x:v>2026-10-09T00:00:00.000Z</x:v>
      </x:c>
      <x:c r="O77" s="11" t="n">
        <x:f>I77-L77</x:f>
        <x:v>-6741.417602212957</x:v>
      </x:c>
    </x:row>
    <x:row r="78" ht="22" customHeight="1">
      <x:c r="A78" s="8" t="d">
        <x:v>2003-12-01T00:00:00.000Z</x:v>
      </x:c>
      <x:c r="B78" s="8" t="d">
        <x:v>2003-11-28T00:00:00.000Z</x:v>
      </x:c>
      <x:c r="C78" s="2" t="str">
        <x:v>ALTR-201512</x:v>
      </x:c>
      <x:c r="D78" s="9" t="n">
        <x:v>0.2504930966</x:v>
      </x:c>
      <x:c r="E78" s="10" t="n">
        <x:v>23.0706618966</x:v>
      </x:c>
      <x:c r="F78" s="10" t="n">
        <x:v>0</x:v>
      </x:c>
      <x:c r="G78" s="11" t="n">
        <x:f>'Summary'!$C$18</x:f>
        <x:v>1000</x:v>
      </x:c>
      <x:c r="H78" s="12" t="n">
        <x:f>G78/E78</x:f>
        <x:v>43.34509362938448</x:v>
      </x:c>
      <x:c r="I78" s="11" t="n">
        <x:f>H78*F78</x:f>
        <x:v>0</x:v>
      </x:c>
      <x:c r="J78" s="10" t="n">
        <x:v>70.2371181402</x:v>
      </x:c>
      <x:c r="K78" s="10" t="n">
        <x:v>778.570007324</x:v>
      </x:c>
      <x:c r="L78" s="11" t="n">
        <x:f>G78*K78/J78</x:f>
        <x:v>11084.879732250687</x:v>
      </x:c>
      <x:c r="M78" s="2" t="str">
        <x:v>written off ($0 rule)</x:v>
      </x:c>
      <x:c r="N78" s="8" t="d">
        <x:v>2015-12-24T00:00:00.000Z</x:v>
      </x:c>
      <x:c r="O78" s="11" t="n">
        <x:f>I78-L78</x:f>
        <x:v>-11084.879732250687</x:v>
      </x:c>
    </x:row>
    <x:row r="79" ht="22" customHeight="1">
      <x:c r="A79" s="8" t="d">
        <x:v>2004-01-02T00:00:00.000Z</x:v>
      </x:c>
      <x:c r="B79" s="8" t="d">
        <x:v>2003-12-31T00:00:00.000Z</x:v>
      </x:c>
      <x:c r="C79" s="2" t="str">
        <x:v>ATI</x:v>
      </x:c>
      <x:c r="D79" s="9" t="n">
        <x:v>0.612195192</x:v>
      </x:c>
      <x:c r="E79" s="10" t="n">
        <x:v>10.6486909159</x:v>
      </x:c>
      <x:c r="F79" s="10" t="n">
        <x:v>191.839996338</x:v>
      </x:c>
      <x:c r="G79" s="11" t="n">
        <x:f>'Summary'!$C$18</x:f>
        <x:v>1000</x:v>
      </x:c>
      <x:c r="H79" s="12" t="n">
        <x:f>G79/E79</x:f>
        <x:v>93.90825669537077</x:v>
      </x:c>
      <x:c r="I79" s="11" t="n">
        <x:f>H79*F79</x:f>
        <x:v>18015.35962054789</x:v>
      </x:c>
      <x:c r="J79" s="10" t="n">
        <x:v>73.7985918277</x:v>
      </x:c>
      <x:c r="K79" s="10" t="n">
        <x:v>778.570007324</x:v>
      </x:c>
      <x:c r="L79" s="11" t="n">
        <x:f>G79*K79/J79</x:f>
        <x:v>10549.930398966868</x:v>
      </x:c>
      <x:c r="M79" s="2" t="str">
        <x:v>current price</x:v>
      </x:c>
      <x:c r="N79" s="8" t="d">
        <x:v>2026-10-09T00:00:00.000Z</x:v>
      </x:c>
      <x:c r="O79" s="11" t="n">
        <x:f>I79-L79</x:f>
        <x:v>7465.429221581022</x:v>
      </x:c>
    </x:row>
    <x:row r="80" ht="22" customHeight="1">
      <x:c r="A80" s="8" t="d">
        <x:v>2004-02-02T00:00:00.000Z</x:v>
      </x:c>
      <x:c r="B80" s="8" t="d">
        <x:v>2004-01-30T00:00:00.000Z</x:v>
      </x:c>
      <x:c r="C80" s="2" t="str">
        <x:v>VIAV</x:v>
      </x:c>
      <x:c r="D80" s="9" t="n">
        <x:v>0.4010988834</x:v>
      </x:c>
      <x:c r="E80" s="10" t="n">
        <x:v>23.4357223511</x:v>
      </x:c>
      <x:c r="F80" s="10" t="n">
        <x:v>45.4599990845</x:v>
      </x:c>
      <x:c r="G80" s="11" t="n">
        <x:f>'Summary'!$C$18</x:f>
        <x:v>1000</x:v>
      </x:c>
      <x:c r="H80" s="12" t="n">
        <x:f>G80/E80</x:f>
        <x:v>42.66990302319668</x:v>
      </x:c>
      <x:c r="I80" s="11" t="n">
        <x:f>H80*F80</x:f>
        <x:v>1939.7737523702249</x:v>
      </x:c>
      <x:c r="J80" s="10" t="n">
        <x:v>75.0930716481</x:v>
      </x:c>
      <x:c r="K80" s="10" t="n">
        <x:v>778.570007324</x:v>
      </x:c>
      <x:c r="L80" s="11" t="n">
        <x:f>G80*K80/J80</x:f>
        <x:v>10368.06712305661</x:v>
      </x:c>
      <x:c r="M80" s="2" t="str">
        <x:v>current price</x:v>
      </x:c>
      <x:c r="N80" s="8" t="d">
        <x:v>2026-10-09T00:00:00.000Z</x:v>
      </x:c>
      <x:c r="O80" s="11" t="n">
        <x:f>I80-L80</x:f>
        <x:v>-8428.293370686384</x:v>
      </x:c>
    </x:row>
    <x:row r="81" ht="22" customHeight="1">
      <x:c r="A81" s="8" t="d">
        <x:v>2004-03-01T00:00:00.000Z</x:v>
      </x:c>
      <x:c r="B81" s="8" t="d">
        <x:v>2004-02-27T00:00:00.000Z</x:v>
      </x:c>
      <x:c r="C81" s="2" t="str">
        <x:v>ATI</x:v>
      </x:c>
      <x:c r="D81" s="9" t="n">
        <x:v>0.3510638643</x:v>
      </x:c>
      <x:c r="E81" s="10" t="n">
        <x:v>10.2453314056</x:v>
      </x:c>
      <x:c r="F81" s="10" t="n">
        <x:v>191.839996338</x:v>
      </x:c>
      <x:c r="G81" s="11" t="n">
        <x:f>'Summary'!$C$18</x:f>
        <x:v>1000</x:v>
      </x:c>
      <x:c r="H81" s="12" t="n">
        <x:f>G81/E81</x:f>
        <x:v>97.60543221212049</x:v>
      </x:c>
      <x:c r="I81" s="11" t="n">
        <x:f>H81*F81</x:f>
        <x:v>18724.6257581421</x:v>
      </x:c>
      <x:c r="J81" s="10" t="n">
        <x:v>76.2356509758</x:v>
      </x:c>
      <x:c r="K81" s="10" t="n">
        <x:v>778.570007324</x:v>
      </x:c>
      <x:c r="L81" s="11" t="n">
        <x:f>G81*K81/J81</x:f>
        <x:v>10212.67605586718</x:v>
      </x:c>
      <x:c r="M81" s="2" t="str">
        <x:v>current price</x:v>
      </x:c>
      <x:c r="N81" s="8" t="d">
        <x:v>2026-10-09T00:00:00.000Z</x:v>
      </x:c>
      <x:c r="O81" s="11" t="n">
        <x:f>I81-L81</x:f>
        <x:v>8511.949702274922</x:v>
      </x:c>
    </x:row>
    <x:row r="82" ht="22" customHeight="1">
      <x:c r="A82" s="8" t="d">
        <x:v>2004-04-01T00:00:00.000Z</x:v>
      </x:c>
      <x:c r="B82" s="8" t="d">
        <x:v>2004-03-31T00:00:00.000Z</x:v>
      </x:c>
      <x:c r="C82" s="2" t="str">
        <x:v>MWW-201610</x:v>
      </x:c>
      <x:c r="D82" s="9" t="n">
        <x:v>0.1909090909</x:v>
      </x:c>
      <x:c r="E82" s="10" t="n">
        <x:v>26.14</x:v>
      </x:c>
      <x:c r="F82" s="10" t="n">
        <x:v>0</x:v>
      </x:c>
      <x:c r="G82" s="11" t="n">
        <x:f>'Summary'!$C$18</x:f>
        <x:v>1000</x:v>
      </x:c>
      <x:c r="H82" s="12" t="n">
        <x:f>G82/E82</x:f>
        <x:v>38.255547054322875</x:v>
      </x:c>
      <x:c r="I82" s="11" t="n">
        <x:f>H82*F82</x:f>
        <x:v>0</x:v>
      </x:c>
      <x:c r="J82" s="10" t="n">
        <x:v>74.9387824486</x:v>
      </x:c>
      <x:c r="K82" s="10" t="n">
        <x:v>778.570007324</x:v>
      </x:c>
      <x:c r="L82" s="11" t="n">
        <x:f>G82*K82/J82</x:f>
        <x:v>10389.413623820428</x:v>
      </x:c>
      <x:c r="M82" s="2" t="str">
        <x:v>written off ($0 rule)</x:v>
      </x:c>
      <x:c r="N82" s="8" t="d">
        <x:v>2016-10-31T00:00:00.000Z</x:v>
      </x:c>
      <x:c r="O82" s="11" t="n">
        <x:f>I82-L82</x:f>
        <x:v>-10389.413623820428</x:v>
      </x:c>
    </x:row>
    <x:row r="83" ht="22" customHeight="1">
      <x:c r="A83" s="8" t="d">
        <x:v>2004-05-03T00:00:00.000Z</x:v>
      </x:c>
      <x:c r="B83" s="8" t="d">
        <x:v>2004-04-30T00:00:00.000Z</x:v>
      </x:c>
      <x:c r="C83" s="2" t="str">
        <x:v>EBAY</x:v>
      </x:c>
      <x:c r="D83" s="9" t="n">
        <x:v>0.1551673442</x:v>
      </x:c>
      <x:c r="E83" s="10" t="n">
        <x:v>14.5041942264</x:v>
      </x:c>
      <x:c r="F83" s="10" t="n">
        <x:v>112.190002441</x:v>
      </x:c>
      <x:c r="G83" s="11" t="n">
        <x:f>'Summary'!$C$18</x:f>
        <x:v>1000</x:v>
      </x:c>
      <x:c r="H83" s="12" t="n">
        <x:f>G83/E83</x:f>
        <x:v>68.94557425188343</x:v>
      </x:c>
      <x:c r="I83" s="11" t="n">
        <x:f>H83*F83</x:f>
        <x:v>7735.004143614949</x:v>
      </x:c>
      <x:c r="J83" s="10" t="n">
        <x:v>73.8120848115</x:v>
      </x:c>
      <x:c r="K83" s="10" t="n">
        <x:v>778.570007324</x:v>
      </x:c>
      <x:c r="L83" s="11" t="n">
        <x:f>G83*K83/J83</x:f>
        <x:v>10548.001852437827</x:v>
      </x:c>
      <x:c r="M83" s="2" t="str">
        <x:v>current price</x:v>
      </x:c>
      <x:c r="N83" s="8" t="d">
        <x:v>2026-10-09T00:00:00.000Z</x:v>
      </x:c>
      <x:c r="O83" s="11" t="n">
        <x:f>I83-L83</x:f>
        <x:v>-2812.997708822878</x:v>
      </x:c>
    </x:row>
    <x:row r="84" ht="22" customHeight="1">
      <x:c r="A84" s="8" t="d">
        <x:v>2004-06-01T00:00:00.000Z</x:v>
      </x:c>
      <x:c r="B84" s="8" t="d">
        <x:v>2004-05-28T00:00:00.000Z</x:v>
      </x:c>
      <x:c r="C84" s="2" t="str">
        <x:v>AABA</x:v>
      </x:c>
      <x:c r="D84" s="9" t="n">
        <x:v>0.213536513</x:v>
      </x:c>
      <x:c r="E84" s="10" t="n">
        <x:v>8.3963610759</x:v>
      </x:c>
      <x:c r="F84" s="10" t="n">
        <x:v>0</x:v>
      </x:c>
      <x:c r="G84" s="11" t="n">
        <x:f>'Summary'!$C$18</x:f>
        <x:v>1000</x:v>
      </x:c>
      <x:c r="H84" s="12" t="n">
        <x:f>G84/E84</x:f>
        <x:v>119.0992134521574</x:v>
      </x:c>
      <x:c r="I84" s="11" t="n">
        <x:f>H84*F84</x:f>
        <x:v>0</x:v>
      </x:c>
      <x:c r="J84" s="10" t="n">
        <x:v>74.5344956953</x:v>
      </x:c>
      <x:c r="K84" s="10" t="n">
        <x:v>778.570007324</x:v>
      </x:c>
      <x:c r="L84" s="11" t="n">
        <x:f>G84*K84/J84</x:f>
        <x:v>10445.767427029028</x:v>
      </x:c>
      <x:c r="M84" s="2" t="str">
        <x:v>written off ($0 rule)</x:v>
      </x:c>
      <x:c r="N84" s="8" t="d">
        <x:v>2019-10-02T00:00:00.000Z</x:v>
      </x:c>
      <x:c r="O84" s="11" t="n">
        <x:f>I84-L84</x:f>
        <x:v>-10445.767427029028</x:v>
      </x:c>
    </x:row>
    <x:row r="85" ht="22" customHeight="1">
      <x:c r="A85" s="8" t="d">
        <x:v>2004-07-01T00:00:00.000Z</x:v>
      </x:c>
      <x:c r="B85" s="8" t="d">
        <x:v>2004-06-30T00:00:00.000Z</x:v>
      </x:c>
      <x:c r="C85" s="2" t="str">
        <x:v>ATI</x:v>
      </x:c>
      <x:c r="D85" s="9" t="n">
        <x:v>0.509044319</x:v>
      </x:c>
      <x:c r="E85" s="10" t="n">
        <x:v>14.705562817</x:v>
      </x:c>
      <x:c r="F85" s="10" t="n">
        <x:v>191.839996338</x:v>
      </x:c>
      <x:c r="G85" s="11" t="n">
        <x:f>'Summary'!$C$18</x:f>
        <x:v>1000</x:v>
      </x:c>
      <x:c r="H85" s="12" t="n">
        <x:f>G85/E85</x:f>
        <x:v>68.00147756629721</x:v>
      </x:c>
      <x:c r="I85" s="11" t="n">
        <x:f>H85*F85</x:f>
        <x:v>13045.403207297046</x:v>
      </x:c>
      <x:c r="J85" s="10" t="n">
        <x:v>75.9972469437</x:v>
      </x:c>
      <x:c r="K85" s="10" t="n">
        <x:v>778.570007324</x:v>
      </x:c>
      <x:c r="L85" s="11" t="n">
        <x:f>G85*K85/J85</x:f>
        <x:v>10244.71331048054</x:v>
      </x:c>
      <x:c r="M85" s="2" t="str">
        <x:v>current price</x:v>
      </x:c>
      <x:c r="N85" s="8" t="d">
        <x:v>2026-10-09T00:00:00.000Z</x:v>
      </x:c>
      <x:c r="O85" s="11" t="n">
        <x:f>I85-L85</x:f>
        <x:v>2800.689896816506</x:v>
      </x:c>
    </x:row>
    <x:row r="86" ht="22" customHeight="1">
      <x:c r="A86" s="8" t="d">
        <x:v>2004-08-02T00:00:00.000Z</x:v>
      </x:c>
      <x:c r="B86" s="8" t="d">
        <x:v>2004-07-30T00:00:00.000Z</x:v>
      </x:c>
      <x:c r="C86" s="2" t="str">
        <x:v>GT</x:v>
      </x:c>
      <x:c r="D86" s="9" t="n">
        <x:v>0.2046204208</x:v>
      </x:c>
      <x:c r="E86" s="10" t="n">
        <x:v>9.6549411599</x:v>
      </x:c>
      <x:c r="F86" s="10" t="n">
        <x:v>4.6799998283</x:v>
      </x:c>
      <x:c r="G86" s="11" t="n">
        <x:f>'Summary'!$C$18</x:f>
        <x:v>1000</x:v>
      </x:c>
      <x:c r="H86" s="12" t="n">
        <x:f>G86/E86</x:f>
        <x:v>103.5739093007955</x:v>
      </x:c>
      <x:c r="I86" s="11" t="n">
        <x:f>H86*F86</x:f>
        <x:v>484.7258777440827</x:v>
      </x:c>
      <x:c r="J86" s="10" t="n">
        <x:v>73.2966024175</x:v>
      </x:c>
      <x:c r="K86" s="10" t="n">
        <x:v>778.570007324</x:v>
      </x:c>
      <x:c r="L86" s="11" t="n">
        <x:f>G86*K86/J86</x:f>
        <x:v>10622.18413466477</x:v>
      </x:c>
      <x:c r="M86" s="2" t="str">
        <x:v>current price</x:v>
      </x:c>
      <x:c r="N86" s="8" t="d">
        <x:v>2026-10-09T00:00:00.000Z</x:v>
      </x:c>
      <x:c r="O86" s="11" t="n">
        <x:f>I86-L86</x:f>
        <x:v>-10137.458256920689</x:v>
      </x:c>
    </x:row>
    <x:row r="87" ht="22" customHeight="1">
      <x:c r="A87" s="8" t="d">
        <x:v>2004-09-01T00:00:00.000Z</x:v>
      </x:c>
      <x:c r="B87" s="8" t="d">
        <x:v>2004-08-31T00:00:00.000Z</x:v>
      </x:c>
      <x:c r="C87" s="2" t="str">
        <x:v>VTRS</x:v>
      </x:c>
      <x:c r="D87" s="9" t="n">
        <x:v>0.1754386258</x:v>
      </x:c>
      <x:c r="E87" s="10" t="n">
        <x:v>13.4572341711</x:v>
      </x:c>
      <x:c r="F87" s="10" t="n">
        <x:v>17.6399993896</x:v>
      </x:c>
      <x:c r="G87" s="11" t="n">
        <x:f>'Summary'!$C$18</x:f>
        <x:v>1000</x:v>
      </x:c>
      <x:c r="H87" s="12" t="n">
        <x:f>G87/E87</x:f>
        <x:v>74.30947453879816</x:v>
      </x:c>
      <x:c r="I87" s="11" t="n">
        <x:f>H87*F87</x:f>
        <x:v>1310.8190855058963</x:v>
      </x:c>
      <x:c r="J87" s="10" t="n">
        <x:v>73.8021384369</x:v>
      </x:c>
      <x:c r="K87" s="10" t="n">
        <x:v>778.570007324</x:v>
      </x:c>
      <x:c r="L87" s="11" t="n">
        <x:f>G87*K87/J87</x:f>
        <x:v>10549.423415280422</x:v>
      </x:c>
      <x:c r="M87" s="2" t="str">
        <x:v>current price</x:v>
      </x:c>
      <x:c r="N87" s="8" t="d">
        <x:v>2026-10-09T00:00:00.000Z</x:v>
      </x:c>
      <x:c r="O87" s="11" t="n">
        <x:f>I87-L87</x:f>
        <x:v>-9238.604329774525</x:v>
      </x:c>
    </x:row>
    <x:row r="88" ht="22" customHeight="1">
      <x:c r="A88" s="8" t="d">
        <x:v>2004-10-01T00:00:00.000Z</x:v>
      </x:c>
      <x:c r="B88" s="8" t="d">
        <x:v>2004-09-30T00:00:00.000Z</x:v>
      </x:c>
      <x:c r="C88" s="2" t="str">
        <x:v>IGT-201504</x:v>
      </x:c>
      <x:c r="D88" s="9" t="n">
        <x:v>0.2461005199</x:v>
      </x:c>
      <x:c r="E88" s="10" t="n">
        <x:v>29.5861390032</x:v>
      </x:c>
      <x:c r="F88" s="10" t="n">
        <x:v>0</x:v>
      </x:c>
      <x:c r="G88" s="11" t="n">
        <x:f>'Summary'!$C$18</x:f>
        <x:v>1000</x:v>
      </x:c>
      <x:c r="H88" s="12" t="n">
        <x:f>G88/E88</x:f>
        <x:v>33.79961136165288</x:v>
      </x:c>
      <x:c r="I88" s="11" t="n">
        <x:f>H88*F88</x:f>
        <x:v>0</x:v>
      </x:c>
      <x:c r="J88" s="10" t="n">
        <x:v>74.9843658363</x:v>
      </x:c>
      <x:c r="K88" s="10" t="n">
        <x:v>778.570007324</x:v>
      </x:c>
      <x:c r="L88" s="11" t="n">
        <x:f>G88*K88/J88</x:f>
        <x:v>10383.097845005626</x:v>
      </x:c>
      <x:c r="M88" s="2" t="str">
        <x:v>written off ($0 rule)</x:v>
      </x:c>
      <x:c r="N88" s="8" t="d">
        <x:v>2015-04-06T00:00:00.000Z</x:v>
      </x:c>
      <x:c r="O88" s="11" t="n">
        <x:f>I88-L88</x:f>
        <x:v>-10383.097845005626</x:v>
      </x:c>
    </x:row>
    <x:row r="89" ht="22" customHeight="1">
      <x:c r="A89" s="8" t="d">
        <x:v>2004-11-01T00:00:00.000Z</x:v>
      </x:c>
      <x:c r="B89" s="8" t="d">
        <x:v>2004-10-29T00:00:00.000Z</x:v>
      </x:c>
      <x:c r="C89" s="2" t="str">
        <x:v>CTXS</x:v>
      </x:c>
      <x:c r="D89" s="9" t="n">
        <x:v>0.37043379</x:v>
      </x:c>
      <x:c r="E89" s="10" t="n">
        <x:v>18.3252460252</x:v>
      </x:c>
      <x:c r="F89" s="10" t="n">
        <x:v>0</x:v>
      </x:c>
      <x:c r="G89" s="11" t="n">
        <x:f>'Summary'!$C$18</x:f>
        <x:v>1000</x:v>
      </x:c>
      <x:c r="H89" s="12" t="n">
        <x:f>G89/E89</x:f>
        <x:v>54.569526576879134</x:v>
      </x:c>
      <x:c r="I89" s="11" t="n">
        <x:f>H89*F89</x:f>
        <x:v>0</x:v>
      </x:c>
      <x:c r="J89" s="10" t="n">
        <x:v>75.8527012234</x:v>
      </x:c>
      <x:c r="K89" s="10" t="n">
        <x:v>778.570007324</x:v>
      </x:c>
      <x:c r="L89" s="11" t="n">
        <x:f>G89*K89/J89</x:f>
        <x:v>10264.235745948845</x:v>
      </x:c>
      <x:c r="M89" s="2" t="str">
        <x:v>written off ($0 rule)</x:v>
      </x:c>
      <x:c r="N89" s="8" t="d">
        <x:v>2022-09-29T00:00:00.000Z</x:v>
      </x:c>
      <x:c r="O89" s="11" t="n">
        <x:f>I89-L89</x:f>
        <x:v>-10264.235745948845</x:v>
      </x:c>
    </x:row>
    <x:row r="90" ht="22" customHeight="1">
      <x:c r="A90" s="8" t="d">
        <x:v>2004-12-01T00:00:00.000Z</x:v>
      </x:c>
      <x:c r="B90" s="8" t="d">
        <x:v>2004-11-30T00:00:00.000Z</x:v>
      </x:c>
      <x:c r="C90" s="2" t="str">
        <x:v>X</x:v>
      </x:c>
      <x:c r="D90" s="9" t="n">
        <x:v>0.4274915012</x:v>
      </x:c>
      <x:c r="E90" s="10" t="n">
        <x:v>43.6349165646</x:v>
      </x:c>
      <x:c r="F90" s="10" t="n">
        <x:v>0</x:v>
      </x:c>
      <x:c r="G90" s="11" t="n">
        <x:f>'Summary'!$C$18</x:f>
        <x:v>1000</x:v>
      </x:c>
      <x:c r="H90" s="12" t="n">
        <x:f>G90/E90</x:f>
        <x:v>22.91742665577312</x:v>
      </x:c>
      <x:c r="I90" s="11" t="n">
        <x:f>H90*F90</x:f>
        <x:v>0</x:v>
      </x:c>
      <x:c r="J90" s="10" t="n">
        <x:v>79.1591865881</x:v>
      </x:c>
      <x:c r="K90" s="10" t="n">
        <x:v>778.570007324</x:v>
      </x:c>
      <x:c r="L90" s="11" t="n">
        <x:f>G90*K90/J90</x:f>
        <x:v>9835.49782257417</x:v>
      </x:c>
      <x:c r="M90" s="2" t="str">
        <x:v>written off ($0 rule)</x:v>
      </x:c>
      <x:c r="N90" s="8" t="d">
        <x:v>2025-06-17T00:00:00.000Z</x:v>
      </x:c>
      <x:c r="O90" s="11" t="n">
        <x:f>I90-L90</x:f>
        <x:v>-9835.49782257417</x:v>
      </x:c>
    </x:row>
    <x:row r="91" ht="22" customHeight="1">
      <x:c r="A91" s="8" t="d">
        <x:v>2005-01-03T00:00:00.000Z</x:v>
      </x:c>
      <x:c r="B91" s="8" t="d">
        <x:v>2004-12-31T00:00:00.000Z</x:v>
      </x:c>
      <x:c r="C91" s="2" t="str">
        <x:v>CIEN</x:v>
      </x:c>
      <x:c r="D91" s="9" t="n">
        <x:v>0.3098038466</x:v>
      </x:c>
      <x:c r="E91" s="10" t="n">
        <x:v>23.6599998474</x:v>
      </x:c>
      <x:c r="F91" s="10" t="n">
        <x:v>449.769989014</x:v>
      </x:c>
      <x:c r="G91" s="11" t="n">
        <x:f>'Summary'!$C$18</x:f>
        <x:v>1000</x:v>
      </x:c>
      <x:c r="H91" s="12" t="n">
        <x:f>G91/E91</x:f>
        <x:v>42.265427153411</x:v>
      </x:c>
      <x:c r="I91" s="11" t="n">
        <x:f>H91*F91</x:f>
        <x:v>19009.72070646168</x:v>
      </x:c>
      <x:c r="J91" s="10" t="n">
        <x:v>81.8216442967</x:v>
      </x:c>
      <x:c r="K91" s="10" t="n">
        <x:v>778.570007324</x:v>
      </x:c>
      <x:c r="L91" s="11" t="n">
        <x:f>G91*K91/J91</x:f>
        <x:v>9515.452958886588</x:v>
      </x:c>
      <x:c r="M91" s="2" t="str">
        <x:v>current price</x:v>
      </x:c>
      <x:c r="N91" s="8" t="d">
        <x:v>2026-10-09T00:00:00.000Z</x:v>
      </x:c>
      <x:c r="O91" s="11" t="n">
        <x:f>I91-L91</x:f>
        <x:v>9494.267747575093</x:v>
      </x:c>
    </x:row>
    <x:row r="92" ht="22" customHeight="1">
      <x:c r="A92" s="8" t="d">
        <x:v>2005-02-01T00:00:00.000Z</x:v>
      </x:c>
      <x:c r="B92" s="8" t="d">
        <x:v>2005-01-31T00:00:00.000Z</x:v>
      </x:c>
      <x:c r="C92" s="2" t="str">
        <x:v>AAPL</x:v>
      </x:c>
      <x:c r="D92" s="9" t="n">
        <x:v>0.1940991608</x:v>
      </x:c>
      <x:c r="E92" s="10" t="n">
        <x:v>1.1522686122</x:v>
      </x:c>
      <x:c r="F92" s="10" t="n">
        <x:v>336.640014648</x:v>
      </x:c>
      <x:c r="G92" s="11" t="n">
        <x:f>'Summary'!$C$18</x:f>
        <x:v>1000</x:v>
      </x:c>
      <x:c r="H92" s="12" t="n">
        <x:f>G92/E92</x:f>
        <x:v>867.8531979541843</x:v>
      </x:c>
      <x:c r="I92" s="11" t="n">
        <x:f>H92*F92</x:f>
        <x:v>292154.11327161023</x:v>
      </x:c>
      <x:c r="J92" s="10" t="n">
        <x:v>79.593695561</x:v>
      </x:c>
      <x:c r="K92" s="10" t="n">
        <x:v>778.570007324</x:v>
      </x:c>
      <x:c r="L92" s="11" t="n">
        <x:f>G92*K92/J92</x:f>
        <x:v>9781.804976341498</x:v>
      </x:c>
      <x:c r="M92" s="2" t="str">
        <x:v>current price</x:v>
      </x:c>
      <x:c r="N92" s="8" t="d">
        <x:v>2026-10-09T00:00:00.000Z</x:v>
      </x:c>
      <x:c r="O92" s="11" t="n">
        <x:f>I92-L92</x:f>
        <x:v>282372.30829526874</x:v>
      </x:c>
    </x:row>
    <x:row r="93" ht="22" customHeight="1">
      <x:c r="A93" s="8" t="d">
        <x:v>2005-03-01T00:00:00.000Z</x:v>
      </x:c>
      <x:c r="B93" s="8" t="d">
        <x:v>2005-02-28T00:00:00.000Z</x:v>
      </x:c>
      <x:c r="C93" s="2" t="str">
        <x:v>VLO</x:v>
      </x:c>
      <x:c r="D93" s="9" t="n">
        <x:v>0.3709954943</x:v>
      </x:c>
      <x:c r="E93" s="10" t="n">
        <x:v>17.7642335185</x:v>
      </x:c>
      <x:c r="F93" s="10" t="n">
        <x:v>433.75</x:v>
      </x:c>
      <x:c r="G93" s="11" t="n">
        <x:f>'Summary'!$C$18</x:f>
        <x:v>1000</x:v>
      </x:c>
      <x:c r="H93" s="12" t="n">
        <x:f>G93/E93</x:f>
        <x:v>56.29288755738217</x:v>
      </x:c>
      <x:c r="I93" s="11" t="n">
        <x:f>H93*F93</x:f>
        <x:v>24417.039978014516</x:v>
      </x:c>
      <x:c r="J93" s="10" t="n">
        <x:v>81.323554109</x:v>
      </x:c>
      <x:c r="K93" s="10" t="n">
        <x:v>778.570007324</x:v>
      </x:c>
      <x:c r="L93" s="11" t="n">
        <x:f>G93*K93/J93</x:f>
        <x:v>9573.733168135557</x:v>
      </x:c>
      <x:c r="M93" s="2" t="str">
        <x:v>current price</x:v>
      </x:c>
      <x:c r="N93" s="8" t="d">
        <x:v>2026-10-09T00:00:00.000Z</x:v>
      </x:c>
      <x:c r="O93" s="11" t="n">
        <x:f>I93-L93</x:f>
        <x:v>14843.306809878959</x:v>
      </x:c>
    </x:row>
    <x:row r="94" ht="22" customHeight="1">
      <x:c r="A94" s="8" t="d">
        <x:v>2005-04-01T00:00:00.000Z</x:v>
      </x:c>
      <x:c r="B94" s="8" t="d">
        <x:v>2005-03-31T00:00:00.000Z</x:v>
      </x:c>
      <x:c r="C94" s="2" t="str">
        <x:v>JCP</x:v>
      </x:c>
      <x:c r="D94" s="9" t="n">
        <x:v>0.1670038211</x:v>
      </x:c>
      <x:c r="E94" s="10" t="n">
        <x:v>43.97064685</x:v>
      </x:c>
      <x:c r="F94" s="10" t="n">
        <x:v>0</x:v>
      </x:c>
      <x:c r="G94" s="11" t="n">
        <x:f>'Summary'!$C$18</x:f>
        <x:v>1000</x:v>
      </x:c>
      <x:c r="H94" s="12" t="n">
        <x:f>G94/E94</x:f>
        <x:v>22.742444599720507</x:v>
      </x:c>
      <x:c r="I94" s="11" t="n">
        <x:f>H94*F94</x:f>
        <x:v>0</x:v>
      </x:c>
      <x:c r="J94" s="10" t="n">
        <x:v>80.1631113507</x:v>
      </x:c>
      <x:c r="K94" s="10" t="n">
        <x:v>778.570007324</x:v>
      </x:c>
      <x:c r="L94" s="11" t="n">
        <x:f>G94*K94/J94</x:f>
        <x:v>9712.322715592816</x:v>
      </x:c>
      <x:c r="M94" s="2" t="str">
        <x:v>written off ($0 rule)</x:v>
      </x:c>
      <x:c r="N94" s="8" t="d">
        <x:v>2018-03-27T00:00:00.000Z</x:v>
      </x:c>
      <x:c r="O94" s="11" t="n">
        <x:f>I94-L94</x:f>
        <x:v>-9712.322715592816</x:v>
      </x:c>
    </x:row>
    <x:row r="95" ht="22" customHeight="1">
      <x:c r="A95" s="8" t="d">
        <x:v>2005-05-02T00:00:00.000Z</x:v>
      </x:c>
      <x:c r="B95" s="8" t="d">
        <x:v>2005-04-29T00:00:00.000Z</x:v>
      </x:c>
      <x:c r="C95" s="2" t="str">
        <x:v>CIEN</x:v>
      </x:c>
      <x:c r="D95" s="9" t="n">
        <x:v>0.3372093382</x:v>
      </x:c>
      <x:c r="E95" s="10" t="n">
        <x:v>16.1000003815</x:v>
      </x:c>
      <x:c r="F95" s="10" t="n">
        <x:v>449.769989014</x:v>
      </x:c>
      <x:c r="G95" s="11" t="n">
        <x:f>'Summary'!$C$18</x:f>
        <x:v>1000</x:v>
      </x:c>
      <x:c r="H95" s="12" t="n">
        <x:f>G95/E95</x:f>
        <x:v>62.11179977045642</x:v>
      </x:c>
      <x:c r="I95" s="11" t="n">
        <x:f>H95*F95</x:f>
        <x:v>27936.02350039795</x:v>
      </x:c>
      <x:c r="J95" s="10" t="n">
        <x:v>78.4332169389</x:v>
      </x:c>
      <x:c r="K95" s="10" t="n">
        <x:v>778.570007324</x:v>
      </x:c>
      <x:c r="L95" s="11" t="n">
        <x:f>G95*K95/J95</x:f>
        <x:v>9926.53416129178</x:v>
      </x:c>
      <x:c r="M95" s="2" t="str">
        <x:v>current price</x:v>
      </x:c>
      <x:c r="N95" s="8" t="d">
        <x:v>2026-10-09T00:00:00.000Z</x:v>
      </x:c>
      <x:c r="O95" s="11" t="n">
        <x:f>I95-L95</x:f>
        <x:v>18009.48933910617</x:v>
      </x:c>
    </x:row>
    <x:row r="96" ht="22" customHeight="1">
      <x:c r="A96" s="8" t="d">
        <x:v>2005-06-01T00:00:00.000Z</x:v>
      </x:c>
      <x:c r="B96" s="8" t="d">
        <x:v>2005-05-31T00:00:00.000Z</x:v>
      </x:c>
      <x:c r="C96" s="2" t="str">
        <x:v>SANM</x:v>
      </x:c>
      <x:c r="D96" s="9" t="n">
        <x:v>0.2750000159</x:v>
      </x:c>
      <x:c r="E96" s="10" t="n">
        <x:v>30.8400001526</x:v>
      </x:c>
      <x:c r="F96" s="10" t="n">
        <x:v>217.490005493</x:v>
      </x:c>
      <x:c r="G96" s="11" t="n">
        <x:f>'Summary'!$C$18</x:f>
        <x:v>1000</x:v>
      </x:c>
      <x:c r="H96" s="12" t="n">
        <x:f>G96/E96</x:f>
        <x:v>32.425421370035046</x:v>
      </x:c>
      <x:c r="I96" s="11" t="n">
        <x:f>H96*F96</x:f>
        <x:v>7052.205071881762</x:v>
      </x:c>
      <x:c r="J96" s="10" t="n">
        <x:v>80.7645201162</x:v>
      </x:c>
      <x:c r="K96" s="10" t="n">
        <x:v>778.570007324</x:v>
      </x:c>
      <x:c r="L96" s="11" t="n">
        <x:f>G96*K96/J96</x:f>
        <x:v>9640.000413595375</x:v>
      </x:c>
      <x:c r="M96" s="2" t="str">
        <x:v>current price</x:v>
      </x:c>
      <x:c r="N96" s="8" t="d">
        <x:v>2026-10-09T00:00:00.000Z</x:v>
      </x:c>
      <x:c r="O96" s="11" t="n">
        <x:f>I96-L96</x:f>
        <x:v>-2587.795341713613</x:v>
      </x:c>
    </x:row>
    <x:row r="97" ht="22" customHeight="1">
      <x:c r="A97" s="8" t="d">
        <x:v>2005-07-01T00:00:00.000Z</x:v>
      </x:c>
      <x:c r="B97" s="8" t="d">
        <x:v>2005-06-30T00:00:00.000Z</x:v>
      </x:c>
      <x:c r="C97" s="2" t="str">
        <x:v>BBY</x:v>
      </x:c>
      <x:c r="D97" s="9" t="n">
        <x:v>0.2614223693</x:v>
      </x:c>
      <x:c r="E97" s="10" t="n">
        <x:v>24.7417342007</x:v>
      </x:c>
      <x:c r="F97" s="10" t="n">
        <x:v>87.0100021362</x:v>
      </x:c>
      <x:c r="G97" s="11" t="n">
        <x:f>'Summary'!$C$18</x:f>
        <x:v>1000</x:v>
      </x:c>
      <x:c r="H97" s="12" t="n">
        <x:f>G97/E97</x:f>
        <x:v>40.417538717706684</x:v>
      </x:c>
      <x:c r="I97" s="11" t="n">
        <x:f>H97*F97</x:f>
        <x:v>3516.730130167605</x:v>
      </x:c>
      <x:c r="J97" s="10" t="n">
        <x:v>81.0429926112</x:v>
      </x:c>
      <x:c r="K97" s="10" t="n">
        <x:v>778.570007324</x:v>
      </x:c>
      <x:c r="L97" s="11" t="n">
        <x:f>G97*K97/J97</x:f>
        <x:v>9606.876328705597</x:v>
      </x:c>
      <x:c r="M97" s="2" t="str">
        <x:v>current price</x:v>
      </x:c>
      <x:c r="N97" s="8" t="d">
        <x:v>2026-10-09T00:00:00.000Z</x:v>
      </x:c>
      <x:c r="O97" s="11" t="n">
        <x:f>I97-L97</x:f>
        <x:v>-6090.146198537992</x:v>
      </x:c>
    </x:row>
    <x:row r="98" ht="22" customHeight="1">
      <x:c r="A98" s="8" t="d">
        <x:v>2005-08-01T00:00:00.000Z</x:v>
      </x:c>
      <x:c r="B98" s="8" t="d">
        <x:v>2005-07-29T00:00:00.000Z</x:v>
      </x:c>
      <x:c r="C98" s="2" t="str">
        <x:v>RHI</x:v>
      </x:c>
      <x:c r="D98" s="9" t="n">
        <x:v>0.3572286873</x:v>
      </x:c>
      <x:c r="E98" s="10" t="n">
        <x:v>20.7596311191</x:v>
      </x:c>
      <x:c r="F98" s="10" t="n">
        <x:v>33.9300003052</x:v>
      </x:c>
      <x:c r="G98" s="11" t="n">
        <x:f>'Summary'!$C$18</x:f>
        <x:v>1000</x:v>
      </x:c>
      <x:c r="H98" s="12" t="n">
        <x:f>G98/E98</x:f>
        <x:v>48.17041277192759</x:v>
      </x:c>
      <x:c r="I98" s="11" t="n">
        <x:f>H98*F98</x:f>
        <x:v>1634.4221200531128</x:v>
      </x:c>
      <x:c r="J98" s="10" t="n">
        <x:v>84.0146854736</x:v>
      </x:c>
      <x:c r="K98" s="10" t="n">
        <x:v>778.570007324</x:v>
      </x:c>
      <x:c r="L98" s="11" t="n">
        <x:f>G98*K98/J98</x:f>
        <x:v>9267.07042864132</x:v>
      </x:c>
      <x:c r="M98" s="2" t="str">
        <x:v>current price</x:v>
      </x:c>
      <x:c r="N98" s="8" t="d">
        <x:v>2026-10-09T00:00:00.000Z</x:v>
      </x:c>
      <x:c r="O98" s="11" t="n">
        <x:f>I98-L98</x:f>
        <x:v>-7632.648308588207</x:v>
      </x:c>
    </x:row>
    <x:row r="99" ht="22" customHeight="1">
      <x:c r="A99" s="8" t="d">
        <x:v>2005-09-01T00:00:00.000Z</x:v>
      </x:c>
      <x:c r="B99" s="8" t="d">
        <x:v>2005-08-31T00:00:00.000Z</x:v>
      </x:c>
      <x:c r="C99" s="2" t="str">
        <x:v>VLO</x:v>
      </x:c>
      <x:c r="D99" s="9" t="n">
        <x:v>0.2880009721</x:v>
      </x:c>
      <x:c r="E99" s="10" t="n">
        <x:v>27.7935922984</x:v>
      </x:c>
      <x:c r="F99" s="10" t="n">
        <x:v>433.75</x:v>
      </x:c>
      <x:c r="G99" s="11" t="n">
        <x:f>'Summary'!$C$18</x:f>
        <x:v>1000</x:v>
      </x:c>
      <x:c r="H99" s="12" t="n">
        <x:f>G99/E99</x:f>
        <x:v>35.97951604325603</x:v>
      </x:c>
      <x:c r="I99" s="11" t="n">
        <x:f>H99*F99</x:f>
        <x:v>15606.1150837623</x:v>
      </x:c>
      <x:c r="J99" s="10" t="n">
        <x:v>83.1258889604</x:v>
      </x:c>
      <x:c r="K99" s="10" t="n">
        <x:v>778.570007324</x:v>
      </x:c>
      <x:c r="L99" s="11" t="n">
        <x:f>G99*K99/J99</x:f>
        <x:v>9366.155563098997</x:v>
      </x:c>
      <x:c r="M99" s="2" t="str">
        <x:v>current price</x:v>
      </x:c>
      <x:c r="N99" s="8" t="d">
        <x:v>2026-10-09T00:00:00.000Z</x:v>
      </x:c>
      <x:c r="O99" s="11" t="n">
        <x:f>I99-L99</x:f>
        <x:v>6239.959520663304</x:v>
      </x:c>
    </x:row>
    <x:row r="100" ht="22" customHeight="1">
      <x:c r="A100" s="8" t="d">
        <x:v>2005-10-03T00:00:00.000Z</x:v>
      </x:c>
      <x:c r="B100" s="8" t="d">
        <x:v>2005-09-30T00:00:00.000Z</x:v>
      </x:c>
      <x:c r="C100" s="2" t="str">
        <x:v>VIAV</x:v>
      </x:c>
      <x:c r="D100" s="9" t="n">
        <x:v>0.4050632357</x:v>
      </x:c>
      <x:c r="E100" s="10" t="n">
        <x:v>9.6473274231</x:v>
      </x:c>
      <x:c r="F100" s="10" t="n">
        <x:v>45.4599990845</x:v>
      </x:c>
      <x:c r="G100" s="11" t="n">
        <x:f>'Summary'!$C$18</x:f>
        <x:v>1000</x:v>
      </x:c>
      <x:c r="H100" s="12" t="n">
        <x:f>G100/E100</x:f>
        <x:v>103.65565053856827</x:v>
      </x:c>
      <x:c r="I100" s="11" t="n">
        <x:f>H100*F100</x:f>
        <x:v>4712.185778586565</x:v>
      </x:c>
      <x:c r="J100" s="10" t="n">
        <x:v>83.7795356067</x:v>
      </x:c>
      <x:c r="K100" s="10" t="n">
        <x:v>778.570007324</x:v>
      </x:c>
      <x:c r="L100" s="11" t="n">
        <x:f>G100*K100/J100</x:f>
        <x:v>9293.08096166788</x:v>
      </x:c>
      <x:c r="M100" s="2" t="str">
        <x:v>current price</x:v>
      </x:c>
      <x:c r="N100" s="8" t="d">
        <x:v>2026-10-09T00:00:00.000Z</x:v>
      </x:c>
      <x:c r="O100" s="11" t="n">
        <x:f>I100-L100</x:f>
        <x:v>-4580.895183081315</x:v>
      </x:c>
    </x:row>
    <x:row r="101" ht="22" customHeight="1">
      <x:c r="A101" s="8" t="d">
        <x:v>2005-11-01T00:00:00.000Z</x:v>
      </x:c>
      <x:c r="B101" s="8" t="d">
        <x:v>2005-10-31T00:00:00.000Z</x:v>
      </x:c>
      <x:c r="C101" s="2" t="str">
        <x:v>JNS-201705</x:v>
      </x:c>
      <x:c r="D101" s="9" t="n">
        <x:v>0.214532872</x:v>
      </x:c>
      <x:c r="E101" s="10" t="n">
        <x:v>14.656327467</x:v>
      </x:c>
      <x:c r="F101" s="10" t="n">
        <x:v>0</x:v>
      </x:c>
      <x:c r="G101" s="11" t="n">
        <x:f>'Summary'!$C$18</x:f>
        <x:v>1000</x:v>
      </x:c>
      <x:c r="H101" s="12" t="n">
        <x:f>G101/E101</x:f>
        <x:v>68.22991654980329</x:v>
      </x:c>
      <x:c r="I101" s="11" t="n">
        <x:f>H101*F101</x:f>
        <x:v>0</x:v>
      </x:c>
      <x:c r="J101" s="10" t="n">
        <x:v>82.1579101503</x:v>
      </x:c>
      <x:c r="K101" s="10" t="n">
        <x:v>778.570007324</x:v>
      </x:c>
      <x:c r="L101" s="11" t="n">
        <x:f>G101*K101/J101</x:f>
        <x:v>9476.506959581628</x:v>
      </x:c>
      <x:c r="M101" s="2" t="str">
        <x:v>written off ($0 rule)</x:v>
      </x:c>
      <x:c r="N101" s="8" t="d">
        <x:v>2017-05-26T00:00:00.000Z</x:v>
      </x:c>
      <x:c r="O101" s="11" t="n">
        <x:f>I101-L101</x:f>
        <x:v>-9476.506959581628</x:v>
      </x:c>
    </x:row>
    <x:row r="102" ht="22" customHeight="1">
      <x:c r="A102" s="8" t="d">
        <x:v>2005-12-01T00:00:00.000Z</x:v>
      </x:c>
      <x:c r="B102" s="8" t="d">
        <x:v>2005-11-30T00:00:00.000Z</x:v>
      </x:c>
      <x:c r="C102" s="2" t="str">
        <x:v>X</x:v>
      </x:c>
      <x:c r="D102" s="9" t="n">
        <x:v>0.3063609814</x:v>
      </x:c>
      <x:c r="E102" s="10" t="n">
        <x:v>40.2196627442</x:v>
      </x:c>
      <x:c r="F102" s="10" t="n">
        <x:v>0</x:v>
      </x:c>
      <x:c r="G102" s="11" t="n">
        <x:f>'Summary'!$C$18</x:f>
        <x:v>1000</x:v>
      </x:c>
      <x:c r="H102" s="12" t="n">
        <x:f>G102/E102</x:f>
        <x:v>24.863460600355435</x:v>
      </x:c>
      <x:c r="I102" s="11" t="n">
        <x:f>H102*F102</x:f>
        <x:v>0</x:v>
      </x:c>
      <x:c r="J102" s="10" t="n">
        <x:v>85.8644833651</x:v>
      </x:c>
      <x:c r="K102" s="10" t="n">
        <x:v>778.570007324</x:v>
      </x:c>
      <x:c r="L102" s="11" t="n">
        <x:f>G102*K102/J102</x:f>
        <x:v>9067.427844566211</x:v>
      </x:c>
      <x:c r="M102" s="2" t="str">
        <x:v>written off ($0 rule)</x:v>
      </x:c>
      <x:c r="N102" s="8" t="d">
        <x:v>2025-06-17T00:00:00.000Z</x:v>
      </x:c>
      <x:c r="O102" s="11" t="n">
        <x:f>I102-L102</x:f>
        <x:v>-9067.427844566211</x:v>
      </x:c>
    </x:row>
    <x:row r="103" ht="22" customHeight="1">
      <x:c r="A103" s="8" t="d">
        <x:v>2006-01-03T00:00:00.000Z</x:v>
      </x:c>
      <x:c r="B103" s="8" t="d">
        <x:v>2005-12-30T00:00:00.000Z</x:v>
      </x:c>
      <x:c r="C103" s="2" t="str">
        <x:v>DDS</x:v>
      </x:c>
      <x:c r="D103" s="9" t="n">
        <x:v>0.1855000548</x:v>
      </x:c>
      <x:c r="E103" s="10" t="n">
        <x:v>16.3781388022</x:v>
      </x:c>
      <x:c r="F103" s="10" t="n">
        <x:v>642.239990234</x:v>
      </x:c>
      <x:c r="G103" s="11" t="n">
        <x:f>'Summary'!$C$18</x:f>
        <x:v>1000</x:v>
      </x:c>
      <x:c r="H103" s="12" t="n">
        <x:f>G103/E103</x:f>
        <x:v>61.05699872721036</x:v>
      </x:c>
      <x:c r="I103" s="11" t="n">
        <x:f>H103*F103</x:f>
        <x:v>39213.246266280934</x:v>
      </x:c>
      <x:c r="J103" s="10" t="n">
        <x:v>85.7511335123</x:v>
      </x:c>
      <x:c r="K103" s="10" t="n">
        <x:v>778.570007324</x:v>
      </x:c>
      <x:c r="L103" s="11" t="n">
        <x:f>G103*K103/J103</x:f>
        <x:v>9079.413594134277</x:v>
      </x:c>
      <x:c r="M103" s="2" t="str">
        <x:v>current price</x:v>
      </x:c>
      <x:c r="N103" s="8" t="d">
        <x:v>2026-10-09T00:00:00.000Z</x:v>
      </x:c>
      <x:c r="O103" s="11" t="n">
        <x:f>I103-L103</x:f>
        <x:v>30133.83267214666</x:v>
      </x:c>
    </x:row>
    <x:row r="104" ht="22" customHeight="1">
      <x:c r="A104" s="8" t="d">
        <x:v>2006-02-01T00:00:00.000Z</x:v>
      </x:c>
      <x:c r="B104" s="8" t="d">
        <x:v>2006-01-31T00:00:00.000Z</x:v>
      </x:c>
      <x:c r="C104" s="2" t="str">
        <x:v>BRCM-201601</x:v>
      </x:c>
      <x:c r="D104" s="9" t="n">
        <x:v>0.446447508</x:v>
      </x:c>
      <x:c r="E104" s="10" t="n">
        <x:v>41.9707286352</x:v>
      </x:c>
      <x:c r="F104" s="10" t="n">
        <x:v>0</x:v>
      </x:c>
      <x:c r="G104" s="11" t="n">
        <x:f>'Summary'!$C$18</x:f>
        <x:v>1000</x:v>
      </x:c>
      <x:c r="H104" s="12" t="n">
        <x:f>G104/E104</x:f>
        <x:v>23.82612912660564</x:v>
      </x:c>
      <x:c r="I104" s="11" t="n">
        <x:f>H104*F104</x:f>
        <x:v>0</x:v>
      </x:c>
      <x:c r="J104" s="10" t="n">
        <x:v>87.5525972172</x:v>
      </x:c>
      <x:c r="K104" s="10" t="n">
        <x:v>778.570007324</x:v>
      </x:c>
      <x:c r="L104" s="11" t="n">
        <x:f>G104*K104/J104</x:f>
        <x:v>8892.597502190914</x:v>
      </x:c>
      <x:c r="M104" s="2" t="str">
        <x:v>written off ($0 rule)</x:v>
      </x:c>
      <x:c r="N104" s="8" t="d">
        <x:v>2016-01-29T00:00:00.000Z</x:v>
      </x:c>
      <x:c r="O104" s="11" t="n">
        <x:f>I104-L104</x:f>
        <x:v>-8892.597502190914</x:v>
      </x:c>
    </x:row>
    <x:row r="105" ht="22" customHeight="1">
      <x:c r="A105" s="8" t="d">
        <x:v>2006-03-01T00:00:00.000Z</x:v>
      </x:c>
      <x:c r="B105" s="8" t="d">
        <x:v>2006-02-28T00:00:00.000Z</x:v>
      </x:c>
      <x:c r="C105" s="2" t="str">
        <x:v>VTRS</x:v>
      </x:c>
      <x:c r="D105" s="9" t="n">
        <x:v>0.1675126451</x:v>
      </x:c>
      <x:c r="E105" s="10" t="n">
        <x:v>17.9704921276</x:v>
      </x:c>
      <x:c r="F105" s="10" t="n">
        <x:v>17.6399993896</x:v>
      </x:c>
      <x:c r="G105" s="11" t="n">
        <x:f>'Summary'!$C$18</x:f>
        <x:v>1000</x:v>
      </x:c>
      <x:c r="H105" s="12" t="n">
        <x:f>G105/E105</x:f>
        <x:v>55.64677878042911</x:v>
      </x:c>
      <x:c r="I105" s="11" t="n">
        <x:f>H105*F105</x:f>
        <x:v>981.6091437199757</x:v>
      </x:c>
      <x:c r="J105" s="10" t="n">
        <x:v>88.0868765723</x:v>
      </x:c>
      <x:c r="K105" s="10" t="n">
        <x:v>778.570007324</x:v>
      </x:c>
      <x:c r="L105" s="11" t="n">
        <x:f>G105*K105/J105</x:f>
        <x:v>8838.660622561238</x:v>
      </x:c>
      <x:c r="M105" s="2" t="str">
        <x:v>current price</x:v>
      </x:c>
      <x:c r="N105" s="8" t="d">
        <x:v>2026-10-09T00:00:00.000Z</x:v>
      </x:c>
      <x:c r="O105" s="11" t="n">
        <x:f>I105-L105</x:f>
        <x:v>-7857.051478841262</x:v>
      </x:c>
    </x:row>
    <x:row r="106" ht="22" customHeight="1">
      <x:c r="A106" s="8" t="d">
        <x:v>2006-04-03T00:00:00.000Z</x:v>
      </x:c>
      <x:c r="B106" s="8" t="d">
        <x:v>2006-03-31T00:00:00.000Z</x:v>
      </x:c>
      <x:c r="C106" s="2" t="str">
        <x:v>VIAV</x:v>
      </x:c>
      <x:c r="D106" s="9" t="n">
        <x:v>0.3717104587</x:v>
      </x:c>
      <x:c r="E106" s="10" t="n">
        <x:v>18.9306030273</x:v>
      </x:c>
      <x:c r="F106" s="10" t="n">
        <x:v>45.4599990845</x:v>
      </x:c>
      <x:c r="G106" s="11" t="n">
        <x:f>'Summary'!$C$18</x:f>
        <x:v>1000</x:v>
      </x:c>
      <x:c r="H106" s="12" t="n">
        <x:f>G106/E106</x:f>
        <x:v>52.824519037132134</x:v>
      </x:c>
      <x:c r="I106" s="11" t="n">
        <x:f>H106*F106</x:f>
        <x:v>2401.4025870671794</x:v>
      </x:c>
      <x:c r="J106" s="10" t="n">
        <x:v>89.4480773529</x:v>
      </x:c>
      <x:c r="K106" s="10" t="n">
        <x:v>778.570007324</x:v>
      </x:c>
      <x:c r="L106" s="11" t="n">
        <x:f>G106*K106/J106</x:f>
        <x:v>8704.155867457088</x:v>
      </x:c>
      <x:c r="M106" s="2" t="str">
        <x:v>current price</x:v>
      </x:c>
      <x:c r="N106" s="8" t="d">
        <x:v>2026-10-09T00:00:00.000Z</x:v>
      </x:c>
      <x:c r="O106" s="11" t="n">
        <x:f>I106-L106</x:f>
        <x:v>-6302.7532803899085</x:v>
      </x:c>
    </x:row>
    <x:row r="107" ht="22" customHeight="1">
      <x:c r="A107" s="8" t="d">
        <x:v>2006-05-01T00:00:00.000Z</x:v>
      </x:c>
      <x:c r="B107" s="8" t="d">
        <x:v>2006-04-28T00:00:00.000Z</x:v>
      </x:c>
      <x:c r="C107" s="2" t="str">
        <x:v>SANM</x:v>
      </x:c>
      <x:c r="D107" s="9" t="n">
        <x:v>0.2658536141</x:v>
      </x:c>
      <x:c r="E107" s="10" t="n">
        <x:v>31.1399993896</x:v>
      </x:c>
      <x:c r="F107" s="10" t="n">
        <x:v>217.490005493</x:v>
      </x:c>
      <x:c r="G107" s="11" t="n">
        <x:f>'Summary'!$C$18</x:f>
        <x:v>1000</x:v>
      </x:c>
      <x:c r="H107" s="12" t="n">
        <x:f>G107/E107</x:f>
        <x:v>32.11303852285802</x:v>
      </x:c>
      <x:c r="I107" s="11" t="n">
        <x:f>H107*F107</x:f>
        <x:v>6984.264924733312</x:v>
      </x:c>
      <x:c r="J107" s="10" t="n">
        <x:v>90.4108416754</x:v>
      </x:c>
      <x:c r="K107" s="10" t="n">
        <x:v>778.570007324</x:v>
      </x:c>
      <x:c r="L107" s="11" t="n">
        <x:f>G107*K107/J107</x:f>
        <x:v>8611.467307419638</x:v>
      </x:c>
      <x:c r="M107" s="2" t="str">
        <x:v>current price</x:v>
      </x:c>
      <x:c r="N107" s="8" t="d">
        <x:v>2026-10-09T00:00:00.000Z</x:v>
      </x:c>
      <x:c r="O107" s="11" t="n">
        <x:f>I107-L107</x:f>
        <x:v>-1627.202382686326</x:v>
      </x:c>
    </x:row>
    <x:row r="108" ht="22" customHeight="1">
      <x:c r="A108" s="8" t="d">
        <x:v>2006-06-01T00:00:00.000Z</x:v>
      </x:c>
      <x:c r="B108" s="8" t="d">
        <x:v>2006-05-31T00:00:00.000Z</x:v>
      </x:c>
      <x:c r="C108" s="2" t="str">
        <x:v>LXK-201611</x:v>
      </x:c>
      <x:c r="D108" s="9" t="n">
        <x:v>0.1755646817</x:v>
      </x:c>
      <x:c r="E108" s="10" t="n">
        <x:v>47.1199457099</x:v>
      </x:c>
      <x:c r="F108" s="10" t="n">
        <x:v>0</x:v>
      </x:c>
      <x:c r="G108" s="11" t="n">
        <x:f>'Summary'!$C$18</x:f>
        <x:v>1000</x:v>
      </x:c>
      <x:c r="H108" s="12" t="n">
        <x:f>G108/E108</x:f>
        <x:v>21.222435317659922</x:v>
      </x:c>
      <x:c r="I108" s="11" t="n">
        <x:f>H108*F108</x:f>
        <x:v>0</x:v>
      </x:c>
      <x:c r="J108" s="10" t="n">
        <x:v>87.5981794875</x:v>
      </x:c>
      <x:c r="K108" s="10" t="n">
        <x:v>778.570007324</x:v>
      </x:c>
      <x:c r="L108" s="11" t="n">
        <x:f>G108*K108/J108</x:f>
        <x:v>8887.970182475077</x:v>
      </x:c>
      <x:c r="M108" s="2" t="str">
        <x:v>written off ($0 rule)</x:v>
      </x:c>
      <x:c r="N108" s="8" t="d">
        <x:v>2016-11-28T00:00:00.000Z</x:v>
      </x:c>
      <x:c r="O108" s="11" t="n">
        <x:f>I108-L108</x:f>
        <x:v>-8887.970182475077</x:v>
      </x:c>
    </x:row>
    <x:row r="109" ht="22" customHeight="1">
      <x:c r="A109" s="8" t="d">
        <x:v>2006-07-03T00:00:00.000Z</x:v>
      </x:c>
      <x:c r="B109" s="8" t="d">
        <x:v>2006-06-30T00:00:00.000Z</x:v>
      </x:c>
      <x:c r="C109" s="2" t="str">
        <x:v>DDS</x:v>
      </x:c>
      <x:c r="D109" s="9" t="n">
        <x:v>0.1715956841</x:v>
      </x:c>
      <x:c r="E109" s="10" t="n">
        <x:v>21.0546093979</x:v>
      </x:c>
      <x:c r="F109" s="10" t="n">
        <x:v>642.239990234</x:v>
      </x:c>
      <x:c r="G109" s="11" t="n">
        <x:f>'Summary'!$C$18</x:f>
        <x:v>1000</x:v>
      </x:c>
      <x:c r="H109" s="12" t="n">
        <x:f>G109/E109</x:f>
        <x:v>47.49553796518024</x:v>
      </x:c>
      <x:c r="I109" s="11" t="n">
        <x:f>H109*F109</x:f>
        <x:v>30503.53383891593</x:v>
      </x:c>
      <x:c r="J109" s="10" t="n">
        <x:v>88.0199039948</x:v>
      </x:c>
      <x:c r="K109" s="10" t="n">
        <x:v>778.570007324</x:v>
      </x:c>
      <x:c r="L109" s="11" t="n">
        <x:f>G109*K109/J109</x:f>
        <x:v>8845.385781947638</x:v>
      </x:c>
      <x:c r="M109" s="2" t="str">
        <x:v>current price</x:v>
      </x:c>
      <x:c r="N109" s="8" t="d">
        <x:v>2026-10-09T00:00:00.000Z</x:v>
      </x:c>
      <x:c r="O109" s="11" t="n">
        <x:f>I109-L109</x:f>
        <x:v>21658.14805696829</x:v>
      </x:c>
    </x:row>
    <x:row r="110" ht="22" customHeight="1">
      <x:c r="A110" s="8" t="d">
        <x:v>2006-08-01T00:00:00.000Z</x:v>
      </x:c>
      <x:c r="B110" s="8" t="d">
        <x:v>2006-07-31T00:00:00.000Z</x:v>
      </x:c>
      <x:c r="C110" s="2" t="str">
        <x:v>PTC</x:v>
      </x:c>
      <x:c r="D110" s="9" t="n">
        <x:v>0.2163650662</x:v>
      </x:c>
      <x:c r="E110" s="10" t="n">
        <x:v>15.3100004196</x:v>
      </x:c>
      <x:c r="F110" s="10" t="n">
        <x:v>194.449996948</x:v>
      </x:c>
      <x:c r="G110" s="11" t="n">
        <x:f>'Summary'!$C$18</x:f>
        <x:v>1000</x:v>
      </x:c>
      <x:c r="H110" s="12" t="n">
        <x:f>G110/E110</x:f>
        <x:v>65.3167846239763</x:v>
      </x:c>
      <x:c r="I110" s="11" t="n">
        <x:f>H110*F110</x:f>
        <x:v>12700.848570785365</x:v>
      </x:c>
      <x:c r="J110" s="10" t="n">
        <x:v>87.9577354276</x:v>
      </x:c>
      <x:c r="K110" s="10" t="n">
        <x:v>778.570007324</x:v>
      </x:c>
      <x:c r="L110" s="11" t="n">
        <x:f>G110*K110/J110</x:f>
        <x:v>8851.637704620745</x:v>
      </x:c>
      <x:c r="M110" s="2" t="str">
        <x:v>current price</x:v>
      </x:c>
      <x:c r="N110" s="8" t="d">
        <x:v>2026-10-09T00:00:00.000Z</x:v>
      </x:c>
      <x:c r="O110" s="11" t="n">
        <x:f>I110-L110</x:f>
        <x:v>3849.21086616462</x:v>
      </x:c>
    </x:row>
    <x:row r="111" ht="22" customHeight="1">
      <x:c r="A111" s="8" t="d">
        <x:v>2006-09-01T00:00:00.000Z</x:v>
      </x:c>
      <x:c r="B111" s="8" t="d">
        <x:v>2006-08-31T00:00:00.000Z</x:v>
      </x:c>
      <x:c r="C111" s="2" t="str">
        <x:v>PMCS-201601</x:v>
      </x:c>
      <x:c r="D111" s="9" t="n">
        <x:v>0.3424657534</x:v>
      </x:c>
      <x:c r="E111" s="10" t="n">
        <x:v>6.915</x:v>
      </x:c>
      <x:c r="F111" s="10" t="n">
        <x:v>0</x:v>
      </x:c>
      <x:c r="G111" s="11" t="n">
        <x:f>'Summary'!$C$18</x:f>
        <x:v>1000</x:v>
      </x:c>
      <x:c r="H111" s="12" t="n">
        <x:f>G111/E111</x:f>
        <x:v>144.61315979754158</x:v>
      </x:c>
      <x:c r="I111" s="11" t="n">
        <x:f>H111*F111</x:f>
        <x:v>0</x:v>
      </x:c>
      <x:c r="J111" s="10" t="n">
        <x:v>90.5825169</x:v>
      </x:c>
      <x:c r="K111" s="10" t="n">
        <x:v>778.570007324</x:v>
      </x:c>
      <x:c r="L111" s="11" t="n">
        <x:f>G111*K111/J111</x:f>
        <x:v>8595.14654669526</x:v>
      </x:c>
      <x:c r="M111" s="2" t="str">
        <x:v>written off ($0 rule)</x:v>
      </x:c>
      <x:c r="N111" s="8" t="d">
        <x:v>2016-01-14T00:00:00.000Z</x:v>
      </x:c>
      <x:c r="O111" s="11" t="n">
        <x:f>I111-L111</x:f>
        <x:v>-8595.14654669526</x:v>
      </x:c>
    </x:row>
    <x:row r="112" ht="22" customHeight="1">
      <x:c r="A112" s="8" t="d">
        <x:v>2006-10-02T00:00:00.000Z</x:v>
      </x:c>
      <x:c r="B112" s="8" t="d">
        <x:v>2006-09-29T00:00:00.000Z</x:v>
      </x:c>
      <x:c r="C112" s="2" t="str">
        <x:v>DRI</x:v>
      </x:c>
      <x:c r="D112" s="9" t="n">
        <x:v>0.1997174786</x:v>
      </x:c>
      <x:c r="E112" s="10" t="n">
        <x:v>20.6081796299</x:v>
      </x:c>
      <x:c r="F112" s="10" t="n">
        <x:v>197.660003662</x:v>
      </x:c>
      <x:c r="G112" s="11" t="n">
        <x:f>'Summary'!$C$18</x:f>
        <x:v>1000</x:v>
      </x:c>
      <x:c r="H112" s="12" t="n">
        <x:f>G112/E112</x:f>
        <x:v>48.52442175674361</x:v>
      </x:c>
      <x:c r="I112" s="11" t="n">
        <x:f>H112*F112</x:f>
        <x:v>9591.337382134374</x:v>
      </x:c>
      <x:c r="J112" s="10" t="n">
        <x:v>92.6459400146</x:v>
      </x:c>
      <x:c r="K112" s="10" t="n">
        <x:v>778.570007324</x:v>
      </x:c>
      <x:c r="L112" s="11" t="n">
        <x:f>G112*K112/J112</x:f>
        <x:v>8403.7142609952</x:v>
      </x:c>
      <x:c r="M112" s="2" t="str">
        <x:v>current price</x:v>
      </x:c>
      <x:c r="N112" s="8" t="d">
        <x:v>2026-10-09T00:00:00.000Z</x:v>
      </x:c>
      <x:c r="O112" s="11" t="n">
        <x:f>I112-L112</x:f>
        <x:v>1187.6231211391732</x:v>
      </x:c>
    </x:row>
    <x:row r="113" ht="22" customHeight="1">
      <x:c r="A113" s="8" t="d">
        <x:v>2006-11-01T00:00:00.000Z</x:v>
      </x:c>
      <x:c r="B113" s="8" t="d">
        <x:v>2006-10-31T00:00:00.000Z</x:v>
      </x:c>
      <x:c r="C113" s="2" t="str">
        <x:v>ATI</x:v>
      </x:c>
      <x:c r="D113" s="9" t="n">
        <x:v>0.2659592394</x:v>
      </x:c>
      <x:c r="E113" s="10" t="n">
        <x:v>65.5335526613</x:v>
      </x:c>
      <x:c r="F113" s="10" t="n">
        <x:v>191.839996338</x:v>
      </x:c>
      <x:c r="G113" s="11" t="n">
        <x:f>'Summary'!$C$18</x:f>
        <x:v>1000</x:v>
      </x:c>
      <x:c r="H113" s="12" t="n">
        <x:f>G113/E113</x:f>
        <x:v>15.259358899224413</x:v>
      </x:c>
      <x:c r="I113" s="11" t="n">
        <x:f>H113*F113</x:f>
        <x:v>2927.355355347439</x:v>
      </x:c>
      <x:c r="J113" s="10" t="n">
        <x:v>95.8927855758</x:v>
      </x:c>
      <x:c r="K113" s="10" t="n">
        <x:v>778.570007324</x:v>
      </x:c>
      <x:c r="L113" s="11" t="n">
        <x:f>G113*K113/J113</x:f>
        <x:v>8119.17187147063</x:v>
      </x:c>
      <x:c r="M113" s="2" t="str">
        <x:v>current price</x:v>
      </x:c>
      <x:c r="N113" s="8" t="d">
        <x:v>2026-10-09T00:00:00.000Z</x:v>
      </x:c>
      <x:c r="O113" s="11" t="n">
        <x:f>I113-L113</x:f>
        <x:v>-5191.816516123192</x:v>
      </x:c>
    </x:row>
    <x:row r="114" ht="22" customHeight="1">
      <x:c r="A114" s="8" t="d">
        <x:v>2006-12-01T00:00:00.000Z</x:v>
      </x:c>
      <x:c r="B114" s="8" t="d">
        <x:v>2006-11-30T00:00:00.000Z</x:v>
      </x:c>
      <x:c r="C114" s="2" t="str">
        <x:v>VIAV</x:v>
      </x:c>
      <x:c r="D114" s="9" t="n">
        <x:v>0.2718512932</x:v>
      </x:c>
      <x:c r="E114" s="10" t="n">
        <x:v>10.53469944</x:v>
      </x:c>
      <x:c r="F114" s="10" t="n">
        <x:v>45.4599990845</x:v>
      </x:c>
      <x:c r="G114" s="11" t="n">
        <x:f>'Summary'!$C$18</x:f>
        <x:v>1000</x:v>
      </x:c>
      <x:c r="H114" s="12" t="n">
        <x:f>G114/E114</x:f>
        <x:v>94.92439776715642</x:v>
      </x:c>
      <x:c r="I114" s="11" t="n">
        <x:f>H114*F114</x:f>
        <x:v>4315.263035591644</x:v>
      </x:c>
      <x:c r="J114" s="10" t="n">
        <x:v>97.4953908319</x:v>
      </x:c>
      <x:c r="K114" s="10" t="n">
        <x:v>778.570007324</x:v>
      </x:c>
      <x:c r="L114" s="11" t="n">
        <x:f>G114*K114/J114</x:f>
        <x:v>7985.710921108035</x:v>
      </x:c>
      <x:c r="M114" s="2" t="str">
        <x:v>current price</x:v>
      </x:c>
      <x:c r="N114" s="8" t="d">
        <x:v>2026-10-09T00:00:00.000Z</x:v>
      </x:c>
      <x:c r="O114" s="11" t="n">
        <x:f>I114-L114</x:f>
        <x:v>-3670.4478855163907</x:v>
      </x:c>
    </x:row>
    <x:row r="115" ht="22" customHeight="1">
      <x:c r="A115" s="8" t="d">
        <x:v>2007-01-03T00:00:00.000Z</x:v>
      </x:c>
      <x:c r="B115" s="8" t="d">
        <x:v>2006-12-29T00:00:00.000Z</x:v>
      </x:c>
      <x:c r="C115" s="2" t="str">
        <x:v>GT</x:v>
      </x:c>
      <x:c r="D115" s="9" t="n">
        <x:v>0.2456972876</x:v>
      </x:c>
      <x:c r="E115" s="10" t="n">
        <x:v>19.158467125</x:v>
      </x:c>
      <x:c r="F115" s="10" t="n">
        <x:v>4.6799998283</x:v>
      </x:c>
      <x:c r="G115" s="11" t="n">
        <x:f>'Summary'!$C$18</x:f>
        <x:v>1000</x:v>
      </x:c>
      <x:c r="H115" s="12" t="n">
        <x:f>G115/E115</x:f>
        <x:v>52.19624270957951</x:v>
      </x:c>
      <x:c r="I115" s="11" t="n">
        <x:f>H115*F115</x:f>
        <x:v>244.2784069187372</x:v>
      </x:c>
      <x:c r="J115" s="10" t="n">
        <x:v>99.2385361648</x:v>
      </x:c>
      <x:c r="K115" s="10" t="n">
        <x:v>778.570007324</x:v>
      </x:c>
      <x:c r="L115" s="11" t="n">
        <x:f>G115*K115/J115</x:f>
        <x:v>7845.440263559223</x:v>
      </x:c>
      <x:c r="M115" s="2" t="str">
        <x:v>current price</x:v>
      </x:c>
      <x:c r="N115" s="8" t="d">
        <x:v>2026-10-09T00:00:00.000Z</x:v>
      </x:c>
      <x:c r="O115" s="11" t="n">
        <x:f>I115-L115</x:f>
        <x:v>-7601.161856640486</x:v>
      </x:c>
    </x:row>
    <x:row r="116" ht="22" customHeight="1">
      <x:c r="A116" s="8" t="d">
        <x:v>2007-02-01T00:00:00.000Z</x:v>
      </x:c>
      <x:c r="B116" s="8" t="d">
        <x:v>2007-01-31T00:00:00.000Z</x:v>
      </x:c>
      <x:c r="C116" s="2" t="str">
        <x:v>NUE</x:v>
      </x:c>
      <x:c r="D116" s="9" t="n">
        <x:v>0.1807537705</x:v>
      </x:c>
      <x:c r="E116" s="10" t="n">
        <x:v>37.5499629392</x:v>
      </x:c>
      <x:c r="F116" s="10" t="n">
        <x:v>250.330001831</x:v>
      </x:c>
      <x:c r="G116" s="11" t="n">
        <x:f>'Summary'!$C$18</x:f>
        <x:v>1000</x:v>
      </x:c>
      <x:c r="H116" s="12" t="n">
        <x:f>G116/E116</x:f>
        <x:v>26.631184739627468</x:v>
      </x:c>
      <x:c r="I116" s="11" t="n">
        <x:f>H116*F116</x:f>
        <x:v>6666.5845246326435</x:v>
      </x:c>
      <x:c r="J116" s="10" t="n">
        <x:v>100.5640378378</x:v>
      </x:c>
      <x:c r="K116" s="10" t="n">
        <x:v>778.570007324</x:v>
      </x:c>
      <x:c r="L116" s="11" t="n">
        <x:f>G116*K116/J116</x:f>
        <x:v>7742.032082877953</x:v>
      </x:c>
      <x:c r="M116" s="2" t="str">
        <x:v>current price</x:v>
      </x:c>
      <x:c r="N116" s="8" t="d">
        <x:v>2026-10-09T00:00:00.000Z</x:v>
      </x:c>
      <x:c r="O116" s="11" t="n">
        <x:f>I116-L116</x:f>
        <x:v>-1075.4475582453097</x:v>
      </x:c>
    </x:row>
    <x:row r="117" ht="22" customHeight="1">
      <x:c r="A117" s="8" t="d">
        <x:v>2007-03-01T00:00:00.000Z</x:v>
      </x:c>
      <x:c r="B117" s="8" t="d">
        <x:v>2007-02-28T00:00:00.000Z</x:v>
      </x:c>
      <x:c r="C117" s="2" t="str">
        <x:v>TEX</x:v>
      </x:c>
      <x:c r="D117" s="9" t="n">
        <x:v>0.1580242215</x:v>
      </x:c>
      <x:c r="E117" s="10" t="n">
        <x:v>55.7932416979</x:v>
      </x:c>
      <x:c r="F117" s="10" t="n">
        <x:v>50.6699981689</x:v>
      </x:c>
      <x:c r="G117" s="11" t="n">
        <x:f>'Summary'!$C$18</x:f>
        <x:v>1000</x:v>
      </x:c>
      <x:c r="H117" s="12" t="n">
        <x:f>G117/E117</x:f>
        <x:v>17.923317763370594</x:v>
      </x:c>
      <x:c r="I117" s="11" t="n">
        <x:f>H117*F117</x:f>
        <x:v>908.1744782506008</x:v>
      </x:c>
      <x:c r="J117" s="10" t="n">
        <x:v>97.208416631</x:v>
      </x:c>
      <x:c r="K117" s="10" t="n">
        <x:v>778.570007324</x:v>
      </x:c>
      <x:c r="L117" s="11" t="n">
        <x:f>G117*K117/J117</x:f>
        <x:v>8009.2859683069055</x:v>
      </x:c>
      <x:c r="M117" s="2" t="str">
        <x:v>current price</x:v>
      </x:c>
      <x:c r="N117" s="8" t="d">
        <x:v>2026-10-09T00:00:00.000Z</x:v>
      </x:c>
      <x:c r="O117" s="11" t="n">
        <x:f>I117-L117</x:f>
        <x:v>-7101.111490056304</x:v>
      </x:c>
    </x:row>
    <x:row r="118" ht="22" customHeight="1">
      <x:c r="A118" s="8" t="d">
        <x:v>2007-04-02T00:00:00.000Z</x:v>
      </x:c>
      <x:c r="B118" s="8" t="d">
        <x:v>2007-03-30T00:00:00.000Z</x:v>
      </x:c>
      <x:c r="C118" s="2" t="str">
        <x:v>GT</x:v>
      </x:c>
      <x:c r="D118" s="9" t="n">
        <x:v>0.266856193</x:v>
      </x:c>
      <x:c r="E118" s="10" t="n">
        <x:v>27.7000617646</x:v>
      </x:c>
      <x:c r="F118" s="10" t="n">
        <x:v>4.6799998283</x:v>
      </x:c>
      <x:c r="G118" s="11" t="n">
        <x:f>'Summary'!$C$18</x:f>
        <x:v>1000</x:v>
      </x:c>
      <x:c r="H118" s="12" t="n">
        <x:f>G118/E118</x:f>
        <x:v>36.10100253559634</x:v>
      </x:c>
      <x:c r="I118" s="11" t="n">
        <x:f>H118*F118</x:f>
        <x:v>168.95268566804873</x:v>
      </x:c>
      <x:c r="J118" s="10" t="n">
        <x:v>99.5691163533</x:v>
      </x:c>
      <x:c r="K118" s="10" t="n">
        <x:v>778.570007324</x:v>
      </x:c>
      <x:c r="L118" s="11" t="n">
        <x:f>G118*K118/J118</x:f>
        <x:v>7819.39255703956</x:v>
      </x:c>
      <x:c r="M118" s="2" t="str">
        <x:v>current price</x:v>
      </x:c>
      <x:c r="N118" s="8" t="d">
        <x:v>2026-10-09T00:00:00.000Z</x:v>
      </x:c>
      <x:c r="O118" s="11" t="n">
        <x:f>I118-L118</x:f>
        <x:v>-7650.439871371512</x:v>
      </x:c>
    </x:row>
    <x:row r="119" ht="22" customHeight="1">
      <x:c r="A119" s="8" t="d">
        <x:v>2007-05-01T00:00:00.000Z</x:v>
      </x:c>
      <x:c r="B119" s="8" t="d">
        <x:v>2007-04-30T00:00:00.000Z</x:v>
      </x:c>
      <x:c r="C119" s="2" t="str">
        <x:v>AMZN</x:v>
      </x:c>
      <x:c r="D119" s="9" t="n">
        <x:v>0.5413419844</x:v>
      </x:c>
      <x:c r="E119" s="10" t="n">
        <x:v>3.0559999943</x:v>
      </x:c>
      <x:c r="F119" s="10" t="n">
        <x:v>262.429992676</x:v>
      </x:c>
      <x:c r="G119" s="11" t="n">
        <x:f>'Summary'!$C$18</x:f>
        <x:v>1000</x:v>
      </x:c>
      <x:c r="H119" s="12" t="n">
        <x:f>G119/E119</x:f>
        <x:v>327.2251315003872</x:v>
      </x:c>
      <x:c r="I119" s="11" t="n">
        <x:f>H119*F119</x:f>
        <x:v>85873.68886304974</x:v>
      </x:c>
      <x:c r="J119" s="10" t="n">
        <x:v>103.9536275057</x:v>
      </x:c>
      <x:c r="K119" s="10" t="n">
        <x:v>778.570007324</x:v>
      </x:c>
      <x:c r="L119" s="11" t="n">
        <x:f>G119*K119/J119</x:f>
        <x:v>7489.589598797881</x:v>
      </x:c>
      <x:c r="M119" s="2" t="str">
        <x:v>current price</x:v>
      </x:c>
      <x:c r="N119" s="8" t="d">
        <x:v>2026-10-09T00:00:00.000Z</x:v>
      </x:c>
      <x:c r="O119" s="11" t="n">
        <x:f>I119-L119</x:f>
        <x:v>78384.09926425185</x:v>
      </x:c>
    </x:row>
    <x:row r="120" ht="22" customHeight="1">
      <x:c r="A120" s="8" t="d">
        <x:v>2007-06-01T00:00:00.000Z</x:v>
      </x:c>
      <x:c r="B120" s="8" t="d">
        <x:v>2007-05-31T00:00:00.000Z</x:v>
      </x:c>
      <x:c r="C120" s="2" t="str">
        <x:v>MRO</x:v>
      </x:c>
      <x:c r="D120" s="9" t="n">
        <x:v>0.2246762866</x:v>
      </x:c>
      <x:c r="E120" s="10" t="n">
        <x:v>27.0514952182</x:v>
      </x:c>
      <x:c r="F120" s="10" t="n">
        <x:v>0</x:v>
      </x:c>
      <x:c r="G120" s="11" t="n">
        <x:f>'Summary'!$C$18</x:f>
        <x:v>1000</x:v>
      </x:c>
      <x:c r="H120" s="12" t="n">
        <x:f>G120/E120</x:f>
        <x:v>36.96653334441969</x:v>
      </x:c>
      <x:c r="I120" s="11" t="n">
        <x:f>H120*F120</x:f>
        <x:v>0</x:v>
      </x:c>
      <x:c r="J120" s="10" t="n">
        <x:v>107.7778258012</x:v>
      </x:c>
      <x:c r="K120" s="10" t="n">
        <x:v>778.570007324</x:v>
      </x:c>
      <x:c r="L120" s="11" t="n">
        <x:f>G120*K120/J120</x:f>
        <x:v>7223.842209993175</x:v>
      </x:c>
      <x:c r="M120" s="2" t="str">
        <x:v>written off ($0 rule)</x:v>
      </x:c>
      <x:c r="N120" s="8" t="d">
        <x:v>2024-11-21T00:00:00.000Z</x:v>
      </x:c>
      <x:c r="O120" s="11" t="n">
        <x:f>I120-L120</x:f>
        <x:v>-7223.842209993175</x:v>
      </x:c>
    </x:row>
    <x:row r="121" ht="22" customHeight="1">
      <x:c r="A121" s="8" t="d">
        <x:v>2007-07-02T00:00:00.000Z</x:v>
      </x:c>
      <x:c r="B121" s="8" t="d">
        <x:v>2007-06-29T00:00:00.000Z</x:v>
      </x:c>
      <x:c r="C121" s="2" t="str">
        <x:v>APOL-201702</x:v>
      </x:c>
      <x:c r="D121" s="9" t="n">
        <x:v>0.2180529498</x:v>
      </x:c>
      <x:c r="E121" s="10" t="n">
        <x:v>58.4</x:v>
      </x:c>
      <x:c r="F121" s="10" t="n">
        <x:v>0</x:v>
      </x:c>
      <x:c r="G121" s="11" t="n">
        <x:f>'Summary'!$C$18</x:f>
        <x:v>1000</x:v>
      </x:c>
      <x:c r="H121" s="12" t="n">
        <x:f>G121/E121</x:f>
        <x:v>17.123287671232877</x:v>
      </x:c>
      <x:c r="I121" s="11" t="n">
        <x:f>H121*F121</x:f>
        <x:v>0</x:v>
      </x:c>
      <x:c r="J121" s="10" t="n">
        <x:v>106.1250462162</x:v>
      </x:c>
      <x:c r="K121" s="10" t="n">
        <x:v>778.570007324</x:v>
      </x:c>
      <x:c r="L121" s="11" t="n">
        <x:f>G121*K121/J121</x:f>
        <x:v>7336.345519585283</x:v>
      </x:c>
      <x:c r="M121" s="2" t="str">
        <x:v>written off ($0 rule)</x:v>
      </x:c>
      <x:c r="N121" s="8" t="d">
        <x:v>2017-02-01T00:00:00.000Z</x:v>
      </x:c>
      <x:c r="O121" s="11" t="n">
        <x:f>I121-L121</x:f>
        <x:v>-7336.345519585283</x:v>
      </x:c>
    </x:row>
    <x:row r="122" ht="22" customHeight="1">
      <x:c r="A122" s="8" t="d">
        <x:v>2007-08-01T00:00:00.000Z</x:v>
      </x:c>
      <x:c r="B122" s="8" t="d">
        <x:v>2007-07-31T00:00:00.000Z</x:v>
      </x:c>
      <x:c r="C122" s="2" t="str">
        <x:v>JNPR</x:v>
      </x:c>
      <x:c r="D122" s="9" t="n">
        <x:v>0.1903059197</x:v>
      </x:c>
      <x:c r="E122" s="10" t="n">
        <x:v>22.5703176798</x:v>
      </x:c>
      <x:c r="F122" s="10" t="n">
        <x:v>0</x:v>
      </x:c>
      <x:c r="G122" s="11" t="n">
        <x:f>'Summary'!$C$18</x:f>
        <x:v>1000</x:v>
      </x:c>
      <x:c r="H122" s="12" t="n">
        <x:f>G122/E122</x:f>
        <x:v>44.305978063170144</x:v>
      </x:c>
      <x:c r="I122" s="11" t="n">
        <x:f>H122*F122</x:f>
        <x:v>0</x:v>
      </x:c>
      <x:c r="J122" s="10" t="n">
        <x:v>102.1225818988</x:v>
      </x:c>
      <x:c r="K122" s="10" t="n">
        <x:v>778.570007324</x:v>
      </x:c>
      <x:c r="L122" s="11" t="n">
        <x:f>G122*K122/J122</x:f>
        <x:v>7623.8770392187735</x:v>
      </x:c>
      <x:c r="M122" s="2" t="str">
        <x:v>written off ($0 rule)</x:v>
      </x:c>
      <x:c r="N122" s="8" t="d">
        <x:v>2025-07-01T00:00:00.000Z</x:v>
      </x:c>
      <x:c r="O122" s="11" t="n">
        <x:f>I122-L122</x:f>
        <x:v>-7623.8770392187735</x:v>
      </x:c>
    </x:row>
    <x:row r="123" ht="22" customHeight="1">
      <x:c r="A123" s="8" t="d">
        <x:v>2007-09-04T00:00:00.000Z</x:v>
      </x:c>
      <x:c r="B123" s="8" t="d">
        <x:v>2007-08-31T00:00:00.000Z</x:v>
      </x:c>
      <x:c r="C123" s="2" t="str">
        <x:v>WFM-201708</x:v>
      </x:c>
      <x:c r="D123" s="9" t="n">
        <x:v>0.1949244061</x:v>
      </x:c>
      <x:c r="E123" s="10" t="n">
        <x:v>19.5783729968</x:v>
      </x:c>
      <x:c r="F123" s="10" t="n">
        <x:v>0</x:v>
      </x:c>
      <x:c r="G123" s="11" t="n">
        <x:f>'Summary'!$C$18</x:f>
        <x:v>1000</x:v>
      </x:c>
      <x:c r="H123" s="12" t="n">
        <x:f>G123/E123</x:f>
        <x:v>51.07676721469377</x:v>
      </x:c>
      <x:c r="I123" s="11" t="n">
        <x:f>H123*F123</x:f>
        <x:v>0</x:v>
      </x:c>
      <x:c r="J123" s="10" t="n">
        <x:v>103.719349421</x:v>
      </x:c>
      <x:c r="K123" s="10" t="n">
        <x:v>778.570007324</x:v>
      </x:c>
      <x:c r="L123" s="11" t="n">
        <x:f>G123*K123/J123</x:f>
        <x:v>7506.506854027406</x:v>
      </x:c>
      <x:c r="M123" s="2" t="str">
        <x:v>written off ($0 rule)</x:v>
      </x:c>
      <x:c r="N123" s="8" t="d">
        <x:v>2017-08-25T00:00:00.000Z</x:v>
      </x:c>
      <x:c r="O123" s="11" t="n">
        <x:f>I123-L123</x:f>
        <x:v>-7506.506854027406</x:v>
      </x:c>
    </x:row>
    <x:row r="124" ht="22" customHeight="1">
      <x:c r="A124" s="8" t="d">
        <x:v>2007-10-01T00:00:00.000Z</x:v>
      </x:c>
      <x:c r="B124" s="8" t="d">
        <x:v>2007-09-28T00:00:00.000Z</x:v>
      </x:c>
      <x:c r="C124" s="2" t="str">
        <x:v>GS</x:v>
      </x:c>
      <x:c r="D124" s="9" t="n">
        <x:v>0.231407376</x:v>
      </x:c>
      <x:c r="E124" s="10" t="n">
        <x:v>156.6867041465</x:v>
      </x:c>
      <x:c r="F124" s="10" t="n">
        <x:v>895.320007324</x:v>
      </x:c>
      <x:c r="G124" s="11" t="n">
        <x:f>'Summary'!$C$18</x:f>
        <x:v>1000</x:v>
      </x:c>
      <x:c r="H124" s="12" t="n">
        <x:f>G124/E124</x:f>
        <x:v>6.382162452437656</x:v>
      </x:c>
      <x:c r="I124" s="11" t="n">
        <x:f>H124*F124</x:f>
        <x:v>5714.07773365944</x:v>
      </x:c>
      <x:c r="J124" s="10" t="n">
        <x:v>107.8511978992</x:v>
      </x:c>
      <x:c r="K124" s="10" t="n">
        <x:v>778.570007324</x:v>
      </x:c>
      <x:c r="L124" s="11" t="n">
        <x:f>G124*K124/J124</x:f>
        <x:v>7218.92776797591</x:v>
      </x:c>
      <x:c r="M124" s="2" t="str">
        <x:v>current price</x:v>
      </x:c>
      <x:c r="N124" s="8" t="d">
        <x:v>2026-10-09T00:00:00.000Z</x:v>
      </x:c>
      <x:c r="O124" s="11" t="n">
        <x:f>I124-L124</x:f>
        <x:v>-1504.8500343164696</x:v>
      </x:c>
    </x:row>
    <x:row r="125" ht="22" customHeight="1">
      <x:c r="A125" s="8" t="d">
        <x:v>2007-11-01T00:00:00.000Z</x:v>
      </x:c>
      <x:c r="B125" s="8" t="d">
        <x:v>2007-10-31T00:00:00.000Z</x:v>
      </x:c>
      <x:c r="C125" s="2" t="str">
        <x:v>AKAM</x:v>
      </x:c>
      <x:c r="D125" s="9" t="n">
        <x:v>0.3640793335</x:v>
      </x:c>
      <x:c r="E125" s="10" t="n">
        <x:v>38.6300010681</x:v>
      </x:c>
      <x:c r="F125" s="10" t="n">
        <x:v>106.949996948</x:v>
      </x:c>
      <x:c r="G125" s="11" t="n">
        <x:f>'Summary'!$C$18</x:f>
        <x:v>1000</x:v>
      </x:c>
      <x:c r="H125" s="12" t="n">
        <x:f>G125/E125</x:f>
        <x:v>25.886615903456008</x:v>
      </x:c>
      <x:c r="I125" s="11" t="n">
        <x:f>H125*F125</x:f>
        <x:v>2768.5734918686685</x:v>
      </x:c>
      <x:c r="J125" s="10" t="n">
        <x:v>108.3388515112</x:v>
      </x:c>
      <x:c r="K125" s="10" t="n">
        <x:v>778.570007324</x:v>
      </x:c>
      <x:c r="L125" s="11" t="n">
        <x:f>G125*K125/J125</x:f>
        <x:v>7186.434012026719</x:v>
      </x:c>
      <x:c r="M125" s="2" t="str">
        <x:v>current price</x:v>
      </x:c>
      <x:c r="N125" s="8" t="d">
        <x:v>2026-10-09T00:00:00.000Z</x:v>
      </x:c>
      <x:c r="O125" s="11" t="n">
        <x:f>I125-L125</x:f>
        <x:v>-4417.86052015805</x:v>
      </x:c>
    </x:row>
    <x:row r="126" ht="22" customHeight="1">
      <x:c r="A126" s="8" t="d">
        <x:v>2007-12-03T00:00:00.000Z</x:v>
      </x:c>
      <x:c r="B126" s="8" t="d">
        <x:v>2007-11-30T00:00:00.000Z</x:v>
      </x:c>
      <x:c r="C126" s="2" t="str">
        <x:v>THC</x:v>
      </x:c>
      <x:c r="D126" s="9" t="n">
        <x:v>0.5698006393</x:v>
      </x:c>
      <x:c r="E126" s="10" t="n">
        <x:v>22.2800006866</x:v>
      </x:c>
      <x:c r="F126" s="10" t="n">
        <x:v>263.779998779</x:v>
      </x:c>
      <x:c r="G126" s="11" t="n">
        <x:f>'Summary'!$C$18</x:f>
        <x:v>1000</x:v>
      </x:c>
      <x:c r="H126" s="12" t="n">
        <x:f>G126/E126</x:f>
        <x:v>44.8833020279679</x:v>
      </x:c>
      <x:c r="I126" s="11" t="n">
        <x:f>H126*F126</x:f>
        <x:v>11839.31735413486</x:v>
      </x:c>
      <x:c r="J126" s="10" t="n">
        <x:v>104.7343947614</x:v>
      </x:c>
      <x:c r="K126" s="10" t="n">
        <x:v>778.570007324</x:v>
      </x:c>
      <x:c r="L126" s="11" t="n">
        <x:f>G126*K126/J126</x:f>
        <x:v>7433.756686117244</x:v>
      </x:c>
      <x:c r="M126" s="2" t="str">
        <x:v>current price</x:v>
      </x:c>
      <x:c r="N126" s="8" t="d">
        <x:v>2026-10-09T00:00:00.000Z</x:v>
      </x:c>
      <x:c r="O126" s="11" t="n">
        <x:f>I126-L126</x:f>
        <x:v>4405.560668017617</x:v>
      </x:c>
    </x:row>
    <x:row r="127" ht="22" customHeight="1">
      <x:c r="A127" s="8" t="d">
        <x:v>2008-01-02T00:00:00.000Z</x:v>
      </x:c>
      <x:c r="B127" s="8" t="d">
        <x:v>2007-12-31T00:00:00.000Z</x:v>
      </x:c>
      <x:c r="C127" s="2" t="str">
        <x:v>HES</x:v>
      </x:c>
      <x:c r="D127" s="9" t="n">
        <x:v>0.4178436756</x:v>
      </x:c>
      <x:c r="E127" s="10" t="n">
        <x:v>79.7156190961</x:v>
      </x:c>
      <x:c r="F127" s="10" t="n">
        <x:v>0</x:v>
      </x:c>
      <x:c r="G127" s="11" t="n">
        <x:f>'Summary'!$C$18</x:f>
        <x:v>1000</x:v>
      </x:c>
      <x:c r="H127" s="12" t="n">
        <x:f>G127/E127</x:f>
        <x:v>12.54459303382521</x:v>
      </x:c>
      <x:c r="I127" s="11" t="n">
        <x:f>H127*F127</x:f>
        <x:v>0</x:v>
      </x:c>
      <x:c r="J127" s="10" t="n">
        <x:v>104.1108060207</x:v>
      </x:c>
      <x:c r="K127" s="10" t="n">
        <x:v>778.570007324</x:v>
      </x:c>
      <x:c r="L127" s="11" t="n">
        <x:f>G127*K127/J127</x:f>
        <x:v>7478.2823904869165</x:v>
      </x:c>
      <x:c r="M127" s="2" t="str">
        <x:v>written off ($0 rule)</x:v>
      </x:c>
      <x:c r="N127" s="8" t="d">
        <x:v>2025-07-17T00:00:00.000Z</x:v>
      </x:c>
      <x:c r="O127" s="11" t="n">
        <x:f>I127-L127</x:f>
        <x:v>-7478.2823904869165</x:v>
      </x:c>
    </x:row>
    <x:row r="128" ht="22" customHeight="1">
      <x:c r="A128" s="8" t="d">
        <x:v>2008-02-01T00:00:00.000Z</x:v>
      </x:c>
      <x:c r="B128" s="8" t="d">
        <x:v>2008-01-31T00:00:00.000Z</x:v>
      </x:c>
      <x:c r="C128" s="2" t="str">
        <x:v>PHM</x:v>
      </x:c>
      <x:c r="D128" s="9" t="n">
        <x:v>0.5512334384</x:v>
      </x:c>
      <x:c r="E128" s="10" t="n">
        <x:v>13.1025528132</x:v>
      </x:c>
      <x:c r="F128" s="10" t="n">
        <x:v>112.120002747</x:v>
      </x:c>
      <x:c r="G128" s="11" t="n">
        <x:f>'Summary'!$C$18</x:f>
        <x:v>1000</x:v>
      </x:c>
      <x:c r="H128" s="12" t="n">
        <x:f>G128/E128</x:f>
        <x:v>76.32100509395106</x:v>
      </x:c>
      <x:c r="I128" s="11" t="n">
        <x:f>H128*F128</x:f>
        <x:v>8557.111300787594</x:v>
      </x:c>
      <x:c r="J128" s="10" t="n">
        <x:v>98.0075408199</x:v>
      </x:c>
      <x:c r="K128" s="10" t="n">
        <x:v>778.570007324</x:v>
      </x:c>
      <x:c r="L128" s="11" t="n">
        <x:f>G128*K128/J128</x:f>
        <x:v>7943.980644863959</x:v>
      </x:c>
      <x:c r="M128" s="2" t="str">
        <x:v>current price</x:v>
      </x:c>
      <x:c r="N128" s="8" t="d">
        <x:v>2026-10-09T00:00:00.000Z</x:v>
      </x:c>
      <x:c r="O128" s="11" t="n">
        <x:f>I128-L128</x:f>
        <x:v>613.1306559236345</x:v>
      </x:c>
    </x:row>
    <x:row r="129" ht="22" customHeight="1">
      <x:c r="A129" s="8" t="d">
        <x:v>2008-03-03T00:00:00.000Z</x:v>
      </x:c>
      <x:c r="B129" s="8" t="d">
        <x:v>2008-02-29T00:00:00.000Z</x:v>
      </x:c>
      <x:c r="C129" s="2" t="str">
        <x:v>AABA</x:v>
      </x:c>
      <x:c r="D129" s="9" t="n">
        <x:v>0.4483837331</x:v>
      </x:c>
      <x:c r="E129" s="10" t="n">
        <x:v>7.6188184763</x:v>
      </x:c>
      <x:c r="F129" s="10" t="n">
        <x:v>0</x:v>
      </x:c>
      <x:c r="G129" s="11" t="n">
        <x:f>'Summary'!$C$18</x:f>
        <x:v>1000</x:v>
      </x:c>
      <x:c r="H129" s="12" t="n">
        <x:f>G129/E129</x:f>
        <x:v>131.2539474605831</x:v>
      </x:c>
      <x:c r="I129" s="11" t="n">
        <x:f>H129*F129</x:f>
        <x:v>0</x:v>
      </x:c>
      <x:c r="J129" s="10" t="n">
        <x:v>94.5970979706</x:v>
      </x:c>
      <x:c r="K129" s="10" t="n">
        <x:v>778.570007324</x:v>
      </x:c>
      <x:c r="L129" s="11" t="n">
        <x:f>G129*K129/J129</x:f>
        <x:v>8230.379409376525</x:v>
      </x:c>
      <x:c r="M129" s="2" t="str">
        <x:v>written off ($0 rule)</x:v>
      </x:c>
      <x:c r="N129" s="8" t="d">
        <x:v>2019-10-02T00:00:00.000Z</x:v>
      </x:c>
      <x:c r="O129" s="11" t="n">
        <x:f>I129-L129</x:f>
        <x:v>-8230.379409376525</x:v>
      </x:c>
    </x:row>
    <x:row r="130" ht="22" customHeight="1">
      <x:c r="A130" s="8" t="d">
        <x:v>2008-04-01T00:00:00.000Z</x:v>
      </x:c>
      <x:c r="B130" s="8" t="d">
        <x:v>2008-03-31T00:00:00.000Z</x:v>
      </x:c>
      <x:c r="C130" s="2" t="str">
        <x:v>BIG</x:v>
      </x:c>
      <x:c r="D130" s="9" t="n">
        <x:v>0.3234421365</x:v>
      </x:c>
      <x:c r="E130" s="10" t="n">
        <x:v>21.2413722139</x:v>
      </x:c>
      <x:c r="F130" s="10" t="n">
        <x:v>0</x:v>
      </x:c>
      <x:c r="G130" s="11" t="n">
        <x:f>'Summary'!$C$18</x:f>
        <x:v>1000</x:v>
      </x:c>
      <x:c r="H130" s="12" t="n">
        <x:f>G130/E130</x:f>
        <x:v>47.0779378059962</x:v>
      </x:c>
      <x:c r="I130" s="11" t="n">
        <x:f>H130*F130</x:f>
        <x:v>0</x:v>
      </x:c>
      <x:c r="J130" s="10" t="n">
        <x:v>95.4010151713</x:v>
      </x:c>
      <x:c r="K130" s="10" t="n">
        <x:v>778.570007324</x:v>
      </x:c>
      <x:c r="L130" s="11" t="n">
        <x:f>G130*K130/J130</x:f>
        <x:v>8161.024344720196</x:v>
      </x:c>
      <x:c r="M130" s="2" t="str">
        <x:v>written off ($0 rule)</x:v>
      </x:c>
      <x:c r="N130" s="8" t="d">
        <x:v>2018-03-27T00:00:00.000Z</x:v>
      </x:c>
      <x:c r="O130" s="11" t="n">
        <x:f>I130-L130</x:f>
        <x:v>-8161.024344720196</x:v>
      </x:c>
    </x:row>
    <x:row r="131" ht="22" customHeight="1">
      <x:c r="A131" s="8" t="d">
        <x:v>2008-05-01T00:00:00.000Z</x:v>
      </x:c>
      <x:c r="B131" s="8" t="d">
        <x:v>2008-04-30T00:00:00.000Z</x:v>
      </x:c>
      <x:c r="C131" s="2" t="str">
        <x:v>F</x:v>
      </x:c>
      <x:c r="D131" s="9" t="n">
        <x:v>0.444056037</x:v>
      </x:c>
      <x:c r="E131" s="10" t="n">
        <x:v>4.1168327503</x:v>
      </x:c>
      <x:c r="F131" s="10" t="n">
        <x:v>12.1700000763</x:v>
      </x:c>
      <x:c r="G131" s="11" t="n">
        <x:f>'Summary'!$C$18</x:f>
        <x:v>1000</x:v>
      </x:c>
      <x:c r="H131" s="12" t="n">
        <x:f>G131/E131</x:f>
        <x:v>242.90517994133435</x:v>
      </x:c>
      <x:c r="I131" s="11" t="n">
        <x:f>H131*F131</x:f>
        <x:v>2956.156058419704</x:v>
      </x:c>
      <x:c r="J131" s="10" t="n">
        <x:v>98.8069222732</x:v>
      </x:c>
      <x:c r="K131" s="10" t="n">
        <x:v>778.570007324</x:v>
      </x:c>
      <x:c r="L131" s="11" t="n">
        <x:f>G131*K131/J131</x:f>
        <x:v>7879.7111519298505</x:v>
      </x:c>
      <x:c r="M131" s="2" t="str">
        <x:v>current price</x:v>
      </x:c>
      <x:c r="N131" s="8" t="d">
        <x:v>2026-10-09T00:00:00.000Z</x:v>
      </x:c>
      <x:c r="O131" s="11" t="n">
        <x:f>I131-L131</x:f>
        <x:v>-4923.555093510146</x:v>
      </x:c>
    </x:row>
    <x:row r="132" ht="22" customHeight="1">
      <x:c r="A132" s="8" t="d">
        <x:v>2008-06-02T00:00:00.000Z</x:v>
      </x:c>
      <x:c r="B132" s="8" t="d">
        <x:v>2008-05-30T00:00:00.000Z</x:v>
      </x:c>
      <x:c r="C132" s="2" t="str">
        <x:v>CPWR-201412</x:v>
      </x:c>
      <x:c r="D132" s="9" t="n">
        <x:v>0.3514588859</x:v>
      </x:c>
      <x:c r="E132" s="10" t="n">
        <x:v>9.5270797702</x:v>
      </x:c>
      <x:c r="F132" s="10" t="n">
        <x:v>0</x:v>
      </x:c>
      <x:c r="G132" s="11" t="n">
        <x:f>'Summary'!$C$18</x:f>
        <x:v>1000</x:v>
      </x:c>
      <x:c r="H132" s="12" t="n">
        <x:f>G132/E132</x:f>
        <x:v>104.9639579095292</x:v>
      </x:c>
      <x:c r="I132" s="11" t="n">
        <x:f>H132*F132</x:f>
        <x:v>0</x:v>
      </x:c>
      <x:c r="J132" s="10" t="n">
        <x:v>99.8422578041</x:v>
      </x:c>
      <x:c r="K132" s="10" t="n">
        <x:v>778.570007324</x:v>
      </x:c>
      <x:c r="L132" s="11" t="n">
        <x:f>G132*K132/J132</x:f>
        <x:v>7798.000810955501</x:v>
      </x:c>
      <x:c r="M132" s="2" t="str">
        <x:v>written off ($0 rule)</x:v>
      </x:c>
      <x:c r="N132" s="8" t="d">
        <x:v>2014-12-15T00:00:00.000Z</x:v>
      </x:c>
      <x:c r="O132" s="11" t="n">
        <x:f>I132-L132</x:f>
        <x:v>-7798.000810955501</x:v>
      </x:c>
    </x:row>
    <x:row r="133" ht="22" customHeight="1">
      <x:c r="A133" s="8" t="d">
        <x:v>2008-07-01T00:00:00.000Z</x:v>
      </x:c>
      <x:c r="B133" s="8" t="d">
        <x:v>2008-06-30T00:00:00.000Z</x:v>
      </x:c>
      <x:c r="C133" s="2" t="str">
        <x:v>JBL</x:v>
      </x:c>
      <x:c r="D133" s="9" t="n">
        <x:v>0.2900943005</x:v>
      </x:c>
      <x:c r="E133" s="10" t="n">
        <x:v>13.0837856132</x:v>
      </x:c>
      <x:c r="F133" s="10" t="n">
        <x:v>306.279998779</x:v>
      </x:c>
      <x:c r="G133" s="11" t="n">
        <x:f>'Summary'!$C$18</x:f>
        <x:v>1000</x:v>
      </x:c>
      <x:c r="H133" s="12" t="n">
        <x:f>G133/E133</x:f>
        <x:v>76.43047888151864</x:v>
      </x:c>
      <x:c r="I133" s="11" t="n">
        <x:f>H133*F133</x:f>
        <x:v>23409.126978509914</x:v>
      </x:c>
      <x:c r="J133" s="10" t="n">
        <x:v>90.7904262767</x:v>
      </x:c>
      <x:c r="K133" s="10" t="n">
        <x:v>778.570007324</x:v>
      </x:c>
      <x:c r="L133" s="11" t="n">
        <x:f>G133*K133/J133</x:f>
        <x:v>8575.463727322627</x:v>
      </x:c>
      <x:c r="M133" s="2" t="str">
        <x:v>current price</x:v>
      </x:c>
      <x:c r="N133" s="8" t="d">
        <x:v>2026-10-09T00:00:00.000Z</x:v>
      </x:c>
      <x:c r="O133" s="11" t="n">
        <x:f>I133-L133</x:f>
        <x:v>14833.663251187287</x:v>
      </x:c>
    </x:row>
    <x:row r="134" ht="22" customHeight="1">
      <x:c r="A134" s="8" t="d">
        <x:v>2008-08-01T00:00:00.000Z</x:v>
      </x:c>
      <x:c r="B134" s="8" t="d">
        <x:v>2008-07-31T00:00:00.000Z</x:v>
      </x:c>
      <x:c r="C134" s="2" t="str">
        <x:v>ROH-200904</x:v>
      </x:c>
      <x:c r="D134" s="9" t="n">
        <x:v>0.6149870801</x:v>
      </x:c>
      <x:c r="E134" s="10" t="n">
        <x:v>73.7545088754</x:v>
      </x:c>
      <x:c r="F134" s="10" t="n">
        <x:v>0</x:v>
      </x:c>
      <x:c r="G134" s="11" t="n">
        <x:f>'Summary'!$C$18</x:f>
        <x:v>1000</x:v>
      </x:c>
      <x:c r="H134" s="12" t="n">
        <x:f>G134/E134</x:f>
        <x:v>13.558493104325162</x:v>
      </x:c>
      <x:c r="I134" s="11" t="n">
        <x:f>H134*F134</x:f>
        <x:v>0</x:v>
      </x:c>
      <x:c r="J134" s="10" t="n">
        <x:v>91.2209891239</x:v>
      </x:c>
      <x:c r="K134" s="10" t="n">
        <x:v>778.570007324</x:v>
      </x:c>
      <x:c r="L134" s="11" t="n">
        <x:f>G134*K134/J134</x:f>
        <x:v>8534.987559349034</x:v>
      </x:c>
      <x:c r="M134" s="2" t="str">
        <x:v>written off ($0 rule)</x:v>
      </x:c>
      <x:c r="N134" s="8" t="d">
        <x:v>2009-04-01T00:00:00.000Z</x:v>
      </x:c>
      <x:c r="O134" s="11" t="n">
        <x:f>I134-L134</x:f>
        <x:v>-8534.987559349034</x:v>
      </x:c>
    </x:row>
    <x:row r="135" ht="22" customHeight="1">
      <x:c r="A135" s="8" t="d">
        <x:v>2008-09-02T00:00:00.000Z</x:v>
      </x:c>
      <x:c r="B135" s="8" t="d">
        <x:v>2008-08-29T00:00:00.000Z</x:v>
      </x:c>
      <x:c r="C135" s="2" t="str">
        <x:v>MBI</x:v>
      </x:c>
      <x:c r="D135" s="9" t="n">
        <x:v>1.7352444828</x:v>
      </x:c>
      <x:c r="E135" s="10" t="n">
        <x:v>7.7703000497</x:v>
      </x:c>
      <x:c r="F135" s="10" t="n">
        <x:v>4.5199999809</x:v>
      </x:c>
      <x:c r="G135" s="11" t="n">
        <x:f>'Summary'!$C$18</x:f>
        <x:v>1000</x:v>
      </x:c>
      <x:c r="H135" s="12" t="n">
        <x:f>G135/E135</x:f>
        <x:v>128.69515895188738</x:v>
      </x:c>
      <x:c r="I135" s="11" t="n">
        <x:f>H135*F135</x:f>
        <x:v>581.7021160044534</x:v>
      </x:c>
      <x:c r="J135" s="10" t="n">
        <x:v>93.3091948398</x:v>
      </x:c>
      <x:c r="K135" s="10" t="n">
        <x:v>778.570007324</x:v>
      </x:c>
      <x:c r="L135" s="11" t="n">
        <x:f>G135*K135/J135</x:f>
        <x:v>8343.979483058509</x:v>
      </x:c>
      <x:c r="M135" s="2" t="str">
        <x:v>current price</x:v>
      </x:c>
      <x:c r="N135" s="8" t="d">
        <x:v>2026-10-09T00:00:00.000Z</x:v>
      </x:c>
      <x:c r="O135" s="11" t="n">
        <x:f>I135-L135</x:f>
        <x:v>-7762.2773670540555</x:v>
      </x:c>
    </x:row>
    <x:row r="136" ht="22" customHeight="1">
      <x:c r="A136" s="8" t="d">
        <x:v>2008-10-01T00:00:00.000Z</x:v>
      </x:c>
      <x:c r="B136" s="8" t="d">
        <x:v>2008-09-30T00:00:00.000Z</x:v>
      </x:c>
      <x:c r="C136" s="2" t="str">
        <x:v>ZION</x:v>
      </x:c>
      <x:c r="D136" s="9" t="n">
        <x:v>0.4418778146</x:v>
      </x:c>
      <x:c r="E136" s="10" t="n">
        <x:v>27.667122627</x:v>
      </x:c>
      <x:c r="F136" s="10" t="n">
        <x:v>62.4900016785</x:v>
      </x:c>
      <x:c r="G136" s="11" t="n">
        <x:f>'Summary'!$C$18</x:f>
        <x:v>1000</x:v>
      </x:c>
      <x:c r="H136" s="12" t="n">
        <x:f>G136/E136</x:f>
        <x:v>36.14398264256481</x:v>
      </x:c>
      <x:c r="I136" s="11" t="n">
        <x:f>H136*F136</x:f>
        <x:v>2258.6375360015495</x:v>
      </x:c>
      <x:c r="J136" s="10" t="n">
        <x:v>83.1962474558</x:v>
      </x:c>
      <x:c r="K136" s="10" t="n">
        <x:v>778.570007324</x:v>
      </x:c>
      <x:c r="L136" s="11" t="n">
        <x:f>G136*K136/J136</x:f>
        <x:v>9358.234669630188</x:v>
      </x:c>
      <x:c r="M136" s="2" t="str">
        <x:v>current price</x:v>
      </x:c>
      <x:c r="N136" s="8" t="d">
        <x:v>2026-10-09T00:00:00.000Z</x:v>
      </x:c>
      <x:c r="O136" s="11" t="n">
        <x:f>I136-L136</x:f>
        <x:v>-7099.597133628638</x:v>
      </x:c>
    </x:row>
    <x:row r="137" ht="22" customHeight="1">
      <x:c r="A137" s="8" t="d">
        <x:v>2008-11-03T00:00:00.000Z</x:v>
      </x:c>
      <x:c r="B137" s="8" t="d">
        <x:v>2008-10-31T00:00:00.000Z</x:v>
      </x:c>
      <x:c r="C137" s="2" t="str">
        <x:v>FHN</x:v>
      </x:c>
      <x:c r="D137" s="9" t="n">
        <x:v>0.2724359439</x:v>
      </x:c>
      <x:c r="E137" s="10" t="n">
        <x:v>7.4439528348</x:v>
      </x:c>
      <x:c r="F137" s="10" t="n">
        <x:v>23.0799999237</x:v>
      </x:c>
      <x:c r="G137" s="11" t="n">
        <x:f>'Summary'!$C$18</x:f>
        <x:v>1000</x:v>
      </x:c>
      <x:c r="H137" s="12" t="n">
        <x:f>G137/E137</x:f>
        <x:v>134.3372294522158</x:v>
      </x:c>
      <x:c r="I137" s="11" t="n">
        <x:f>H137*F137</x:f>
        <x:v>3100.5032455072105</x:v>
      </x:c>
      <x:c r="J137" s="10" t="n">
        <x:v>69.8510710655</x:v>
      </x:c>
      <x:c r="K137" s="10" t="n">
        <x:v>778.570007324</x:v>
      </x:c>
      <x:c r="L137" s="11" t="n">
        <x:f>G137*K137/J137</x:f>
        <x:v>11146.14272118931</x:v>
      </x:c>
      <x:c r="M137" s="2" t="str">
        <x:v>current price</x:v>
      </x:c>
      <x:c r="N137" s="8" t="d">
        <x:v>2026-10-09T00:00:00.000Z</x:v>
      </x:c>
      <x:c r="O137" s="11" t="n">
        <x:f>I137-L137</x:f>
        <x:v>-8045.639475682099</x:v>
      </x:c>
    </x:row>
    <x:row r="138" ht="22" customHeight="1">
      <x:c r="A138" s="8" t="d">
        <x:v>2008-12-01T00:00:00.000Z</x:v>
      </x:c>
      <x:c r="B138" s="8" t="d">
        <x:v>2008-11-28T00:00:00.000Z</x:v>
      </x:c>
      <x:c r="C138" s="2" t="str">
        <x:v>ADM</x:v>
      </x:c>
      <x:c r="D138" s="9" t="n">
        <x:v>0.3275245578</x:v>
      </x:c>
      <x:c r="E138" s="10" t="n">
        <x:v>16.3927628218</x:v>
      </x:c>
      <x:c r="F138" s="10" t="n">
        <x:v>79.8899993896</x:v>
      </x:c>
      <x:c r="G138" s="11" t="n">
        <x:f>'Summary'!$C$18</x:f>
        <x:v>1000</x:v>
      </x:c>
      <x:c r="H138" s="12" t="n">
        <x:f>G138/E138</x:f>
        <x:v>61.00252964498118</x:v>
      </x:c>
      <x:c r="I138" s="11" t="n">
        <x:f>H138*F138</x:f>
        <x:v>4873.492056101602</x:v>
      </x:c>
      <x:c r="J138" s="10" t="n">
        <x:v>63.1604407446</x:v>
      </x:c>
      <x:c r="K138" s="10" t="n">
        <x:v>778.570007324</x:v>
      </x:c>
      <x:c r="L138" s="11" t="n">
        <x:f>G138*K138/J138</x:f>
        <x:v>12326.861531449415</x:v>
      </x:c>
      <x:c r="M138" s="2" t="str">
        <x:v>current price</x:v>
      </x:c>
      <x:c r="N138" s="8" t="d">
        <x:v>2026-10-09T00:00:00.000Z</x:v>
      </x:c>
      <x:c r="O138" s="11" t="n">
        <x:f>I138-L138</x:f>
        <x:v>-7453.369475347812</x:v>
      </x:c>
    </x:row>
    <x:row r="139" ht="22" customHeight="1">
      <x:c r="A139" s="8" t="d">
        <x:v>2009-01-02T00:00:00.000Z</x:v>
      </x:c>
      <x:c r="B139" s="8" t="d">
        <x:v>2008-12-31T00:00:00.000Z</x:v>
      </x:c>
      <x:c r="C139" s="2" t="str">
        <x:v>GNW</x:v>
      </x:c>
      <x:c r="D139" s="9" t="n">
        <x:v>0.9517240211</x:v>
      </x:c>
      <x:c r="E139" s="10" t="n">
        <x:v>2.8900001049</x:v>
      </x:c>
      <x:c r="F139" s="10" t="n">
        <x:v>9.3999996185</x:v>
      </x:c>
      <x:c r="G139" s="11" t="n">
        <x:f>'Summary'!$C$18</x:f>
        <x:v>1000</x:v>
      </x:c>
      <x:c r="H139" s="12" t="n">
        <x:f>G139/E139</x:f>
        <x:v>346.0207486859597</x:v>
      </x:c>
      <x:c r="I139" s="11" t="n">
        <x:f>H139*F139</x:f>
        <x:v>3252.594905641106</x:v>
      </x:c>
      <x:c r="J139" s="10" t="n">
        <x:v>65.8050612599</x:v>
      </x:c>
      <x:c r="K139" s="10" t="n">
        <x:v>778.570007324</x:v>
      </x:c>
      <x:c r="L139" s="11" t="n">
        <x:f>G139*K139/J139</x:f>
        <x:v>11831.460869689085</x:v>
      </x:c>
      <x:c r="M139" s="2" t="str">
        <x:v>current price</x:v>
      </x:c>
      <x:c r="N139" s="8" t="d">
        <x:v>2026-10-09T00:00:00.000Z</x:v>
      </x:c>
      <x:c r="O139" s="11" t="n">
        <x:f>I139-L139</x:f>
        <x:v>-8578.865964047978</x:v>
      </x:c>
    </x:row>
    <x:row r="140" ht="22" customHeight="1">
      <x:c r="A140" s="8" t="d">
        <x:v>2009-02-02T00:00:00.000Z</x:v>
      </x:c>
      <x:c r="B140" s="8" t="d">
        <x:v>2009-01-30T00:00:00.000Z</x:v>
      </x:c>
      <x:c r="C140" s="2" t="str">
        <x:v>MU</x:v>
      </x:c>
      <x:c r="D140" s="9" t="n">
        <x:v>0.4090908639</x:v>
      </x:c>
      <x:c r="E140" s="10" t="n">
        <x:v>3.6665160921</x:v>
      </x:c>
      <x:c r="F140" s="10" t="n">
        <x:v>1029</x:v>
      </x:c>
      <x:c r="G140" s="11" t="n">
        <x:f>'Summary'!$C$18</x:f>
        <x:v>1000</x:v>
      </x:c>
      <x:c r="H140" s="12" t="n">
        <x:f>G140/E140</x:f>
        <x:v>272.73847294837566</x:v>
      </x:c>
      <x:c r="I140" s="11" t="n">
        <x:f>H140*F140</x:f>
        <x:v>280647.88866387855</x:v>
      </x:c>
      <x:c r="J140" s="10" t="n">
        <x:v>59.3511574744</x:v>
      </x:c>
      <x:c r="K140" s="10" t="n">
        <x:v>778.570007324</x:v>
      </x:c>
      <x:c r="L140" s="11" t="n">
        <x:f>G140*K140/J140</x:f>
        <x:v>13118.025670515719</x:v>
      </x:c>
      <x:c r="M140" s="2" t="str">
        <x:v>current price</x:v>
      </x:c>
      <x:c r="N140" s="8" t="d">
        <x:v>2026-10-09T00:00:00.000Z</x:v>
      </x:c>
      <x:c r="O140" s="11" t="n">
        <x:f>I140-L140</x:f>
        <x:v>267529.8629933628</x:v>
      </x:c>
    </x:row>
    <x:row r="141" ht="22" customHeight="1">
      <x:c r="A141" s="8" t="d">
        <x:v>2009-03-02T00:00:00.000Z</x:v>
      </x:c>
      <x:c r="B141" s="8" t="d">
        <x:v>2009-02-27T00:00:00.000Z</x:v>
      </x:c>
      <x:c r="C141" s="2" t="str">
        <x:v>DHI</x:v>
      </x:c>
      <x:c r="D141" s="9" t="n">
        <x:v>0.4244103582</x:v>
      </x:c>
      <x:c r="E141" s="10" t="n">
        <x:v>6.7680732283</x:v>
      </x:c>
      <x:c r="F141" s="10" t="n">
        <x:v>134.880004883</x:v>
      </x:c>
      <x:c r="G141" s="11" t="n">
        <x:f>'Summary'!$C$18</x:f>
        <x:v>1000</x:v>
      </x:c>
      <x:c r="H141" s="12" t="n">
        <x:f>G141/E141</x:f>
        <x:v>147.7525384652464</x:v>
      </x:c>
      <x:c r="I141" s="11" t="n">
        <x:f>H141*F141</x:f>
        <x:v>19928.86310966808</x:v>
      </x:c>
      <x:c r="J141" s="10" t="n">
        <x:v>52.7662836449</x:v>
      </x:c>
      <x:c r="K141" s="10" t="n">
        <x:v>778.570007324</x:v>
      </x:c>
      <x:c r="L141" s="11" t="n">
        <x:f>G141*K141/J141</x:f>
        <x:v>14755.066181342692</x:v>
      </x:c>
      <x:c r="M141" s="2" t="str">
        <x:v>current price</x:v>
      </x:c>
      <x:c r="N141" s="8" t="d">
        <x:v>2026-10-09T00:00:00.000Z</x:v>
      </x:c>
      <x:c r="O141" s="11" t="n">
        <x:f>I141-L141</x:f>
        <x:v>5173.796928325388</x:v>
      </x:c>
    </x:row>
    <x:row r="142" ht="22" customHeight="1">
      <x:c r="A142" s="8" t="d">
        <x:v>2009-04-01T00:00:00.000Z</x:v>
      </x:c>
      <x:c r="B142" s="8" t="d">
        <x:v>2009-03-31T00:00:00.000Z</x:v>
      </x:c>
      <x:c r="C142" s="2" t="str">
        <x:v>AIG</x:v>
      </x:c>
      <x:c r="D142" s="9" t="n">
        <x:v>1.3809524891</x:v>
      </x:c>
      <x:c r="E142" s="10" t="n">
        <x:v>12.1274838678</x:v>
      </x:c>
      <x:c r="F142" s="10" t="n">
        <x:v>77.0400009155</x:v>
      </x:c>
      <x:c r="G142" s="11" t="n">
        <x:f>'Summary'!$C$18</x:f>
        <x:v>1000</x:v>
      </x:c>
      <x:c r="H142" s="12" t="n">
        <x:f>G142/E142</x:f>
        <x:v>82.45733500047163</x:v>
      </x:c>
      <x:c r="I142" s="11" t="n">
        <x:f>H142*F142</x:f>
        <x:v>6352.513163926024</x:v>
      </x:c>
      <x:c r="J142" s="10" t="n">
        <x:v>57.5481976869</x:v>
      </x:c>
      <x:c r="K142" s="10" t="n">
        <x:v>778.570007324</x:v>
      </x:c>
      <x:c r="L142" s="11" t="n">
        <x:f>G142*K142/J142</x:f>
        <x:v>13529.00765997803</x:v>
      </x:c>
      <x:c r="M142" s="2" t="str">
        <x:v>current price</x:v>
      </x:c>
      <x:c r="N142" s="8" t="d">
        <x:v>2026-10-09T00:00:00.000Z</x:v>
      </x:c>
      <x:c r="O142" s="11" t="n">
        <x:f>I142-L142</x:f>
        <x:v>-7176.494496052005</x:v>
      </x:c>
    </x:row>
    <x:row r="143" ht="22" customHeight="1">
      <x:c r="A143" s="8" t="d">
        <x:v>2009-05-01T00:00:00.000Z</x:v>
      </x:c>
      <x:c r="B143" s="8" t="d">
        <x:v>2009-04-30T00:00:00.000Z</x:v>
      </x:c>
      <x:c r="C143" s="2" t="str">
        <x:v>WYND</x:v>
      </x:c>
      <x:c r="D143" s="9" t="n">
        <x:v>1.7809523809</x:v>
      </x:c>
      <x:c r="E143" s="10" t="n">
        <x:v>3.1062044097</x:v>
      </x:c>
      <x:c r="F143" s="10" t="n">
        <x:v>0</x:v>
      </x:c>
      <x:c r="G143" s="11" t="n">
        <x:f>'Summary'!$C$18</x:f>
        <x:v>1000</x:v>
      </x:c>
      <x:c r="H143" s="12" t="n">
        <x:f>G143/E143</x:f>
        <x:v>321.9363145829095</x:v>
      </x:c>
      <x:c r="I143" s="11" t="n">
        <x:f>H143*F143</x:f>
        <x:v>0</x:v>
      </x:c>
      <x:c r="J143" s="10" t="n">
        <x:v>64.0776088687</x:v>
      </x:c>
      <x:c r="K143" s="10" t="n">
        <x:v>778.570007324</x:v>
      </x:c>
      <x:c r="L143" s="11" t="n">
        <x:f>G143*K143/J143</x:f>
        <x:v>12150.422293680629</x:v>
      </x:c>
      <x:c r="M143" s="2" t="str">
        <x:v>written off ($0 rule)</x:v>
      </x:c>
      <x:c r="N143" s="8" t="d">
        <x:v>2026-09-18T00:00:00.000Z</x:v>
      </x:c>
      <x:c r="O143" s="11" t="n">
        <x:f>I143-L143</x:f>
        <x:v>-12150.422293680629</x:v>
      </x:c>
    </x:row>
    <x:row r="144" ht="22" customHeight="1">
      <x:c r="A144" s="8" t="d">
        <x:v>2009-06-01T00:00:00.000Z</x:v>
      </x:c>
      <x:c r="B144" s="8" t="d">
        <x:v>2009-05-29T00:00:00.000Z</x:v>
      </x:c>
      <x:c r="C144" s="2" t="str">
        <x:v>GNW</x:v>
      </x:c>
      <x:c r="D144" s="9" t="n">
        <x:v>1.5084747201</x:v>
      </x:c>
      <x:c r="E144" s="10" t="n">
        <x:v>6.2800002098</x:v>
      </x:c>
      <x:c r="F144" s="10" t="n">
        <x:v>9.3999996185</x:v>
      </x:c>
      <x:c r="G144" s="11" t="n">
        <x:f>'Summary'!$C$18</x:f>
        <x:v>1000</x:v>
      </x:c>
      <x:c r="H144" s="12" t="n">
        <x:f>G144/E144</x:f>
        <x:v>159.23566347012067</x:v>
      </x:c>
      <x:c r="I144" s="11" t="n">
        <x:f>H144*F144</x:f>
        <x:v>1496.8151758707288</x:v>
      </x:c>
      <x:c r="J144" s="10" t="n">
        <x:v>68.6430619603</x:v>
      </x:c>
      <x:c r="K144" s="10" t="n">
        <x:v>778.570007324</x:v>
      </x:c>
      <x:c r="L144" s="11" t="n">
        <x:f>G144*K144/J144</x:f>
        <x:v>11342.297168711519</x:v>
      </x:c>
      <x:c r="M144" s="2" t="str">
        <x:v>current price</x:v>
      </x:c>
      <x:c r="N144" s="8" t="d">
        <x:v>2026-10-09T00:00:00.000Z</x:v>
      </x:c>
      <x:c r="O144" s="11" t="n">
        <x:f>I144-L144</x:f>
        <x:v>-9845.48199284079</x:v>
      </x:c>
    </x:row>
    <x:row r="145" ht="22" customHeight="1">
      <x:c r="A145" s="8" t="d">
        <x:v>2009-07-01T00:00:00.000Z</x:v>
      </x:c>
      <x:c r="B145" s="8" t="d">
        <x:v>2009-06-30T00:00:00.000Z</x:v>
      </x:c>
      <x:c r="C145" s="2" t="str">
        <x:v>SLM</x:v>
      </x:c>
      <x:c r="D145" s="9" t="n">
        <x:v>0.5537064047</x:v>
      </x:c>
      <x:c r="E145" s="10" t="n">
        <x:v>2.9164773673</x:v>
      </x:c>
      <x:c r="F145" s="10" t="n">
        <x:v>22.5200004578</x:v>
      </x:c>
      <x:c r="G145" s="11" t="n">
        <x:f>'Summary'!$C$18</x:f>
        <x:v>1000</x:v>
      </x:c>
      <x:c r="H145" s="12" t="n">
        <x:f>G145/E145</x:f>
        <x:v>342.8793966351861</x:v>
      </x:c>
      <x:c r="I145" s="11" t="n">
        <x:f>H145*F145</x:f>
        <x:v>7721.644169194577</x:v>
      </x:c>
      <x:c r="J145" s="10" t="n">
        <x:v>68.0506533677</x:v>
      </x:c>
      <x:c r="K145" s="10" t="n">
        <x:v>778.570007324</x:v>
      </x:c>
      <x:c r="L145" s="11" t="n">
        <x:f>G145*K145/J145</x:f>
        <x:v>11441.036474949491</x:v>
      </x:c>
      <x:c r="M145" s="2" t="str">
        <x:v>current price</x:v>
      </x:c>
      <x:c r="N145" s="8" t="d">
        <x:v>2026-10-09T00:00:00.000Z</x:v>
      </x:c>
      <x:c r="O145" s="11" t="n">
        <x:f>I145-L145</x:f>
        <x:v>-3719.3923057549137</x:v>
      </x:c>
    </x:row>
    <x:row r="146" ht="22" customHeight="1">
      <x:c r="A146" s="8" t="d">
        <x:v>2009-08-03T00:00:00.000Z</x:v>
      </x:c>
      <x:c r="B146" s="8" t="d">
        <x:v>2009-07-31T00:00:00.000Z</x:v>
      </x:c>
      <x:c r="C146" s="2" t="str">
        <x:v>TGNA</x:v>
      </x:c>
      <x:c r="D146" s="9" t="n">
        <x:v>0.9607843137</x:v>
      </x:c>
      <x:c r="E146" s="10" t="n">
        <x:v>2.475098613</x:v>
      </x:c>
      <x:c r="F146" s="10" t="n">
        <x:v>0</x:v>
      </x:c>
      <x:c r="G146" s="11" t="n">
        <x:f>'Summary'!$C$18</x:f>
        <x:v>1000</x:v>
      </x:c>
      <x:c r="H146" s="12" t="n">
        <x:f>G146/E146</x:f>
        <x:v>404.024306242864</x:v>
      </x:c>
      <x:c r="I146" s="11" t="n">
        <x:f>H146*F146</x:f>
        <x:v>0</x:v>
      </x:c>
      <x:c r="J146" s="10" t="n">
        <x:v>73.5852058094</x:v>
      </x:c>
      <x:c r="K146" s="10" t="n">
        <x:v>778.570007324</x:v>
      </x:c>
      <x:c r="L146" s="11" t="n">
        <x:f>G146*K146/J146</x:f>
        <x:v>10580.523608789623</x:v>
      </x:c>
      <x:c r="M146" s="2" t="str">
        <x:v>written off ($0 rule)</x:v>
      </x:c>
      <x:c r="N146" s="8" t="d">
        <x:v>2026-03-19T00:00:00.000Z</x:v>
      </x:c>
      <x:c r="O146" s="11" t="n">
        <x:f>I146-L146</x:f>
        <x:v>-10580.523608789623</x:v>
      </x:c>
    </x:row>
    <x:row r="147" ht="22" customHeight="1">
      <x:c r="A147" s="8" t="d">
        <x:v>2009-09-01T00:00:00.000Z</x:v>
      </x:c>
      <x:c r="B147" s="8" t="d">
        <x:v>2009-08-31T00:00:00.000Z</x:v>
      </x:c>
      <x:c r="C147" s="2" t="str">
        <x:v>AIG</x:v>
      </x:c>
      <x:c r="D147" s="9" t="n">
        <x:v>2.4497717387</x:v>
      </x:c>
      <x:c r="E147" s="10" t="n">
        <x:v>25.3934662933</x:v>
      </x:c>
      <x:c r="F147" s="10" t="n">
        <x:v>77.0400009155</x:v>
      </x:c>
      <x:c r="G147" s="11" t="n">
        <x:f>'Summary'!$C$18</x:f>
        <x:v>1000</x:v>
      </x:c>
      <x:c r="H147" s="12" t="n">
        <x:f>G147/E147</x:f>
        <x:v>39.380208611529625</x:v>
      </x:c>
      <x:c r="I147" s="11" t="n">
        <x:f>H147*F147</x:f>
        <x:v>3033.8513074848233</x:v>
      </x:c>
      <x:c r="J147" s="10" t="n">
        <x:v>75.1328154463</x:v>
      </x:c>
      <x:c r="K147" s="10" t="n">
        <x:v>778.570007324</x:v>
      </x:c>
      <x:c r="L147" s="11" t="n">
        <x:f>G147*K147/J147</x:f>
        <x:v>10362.582617185039</x:v>
      </x:c>
      <x:c r="M147" s="2" t="str">
        <x:v>current price</x:v>
      </x:c>
      <x:c r="N147" s="8" t="d">
        <x:v>2026-10-09T00:00:00.000Z</x:v>
      </x:c>
      <x:c r="O147" s="11" t="n">
        <x:f>I147-L147</x:f>
        <x:v>-7328.731309700215</x:v>
      </x:c>
    </x:row>
    <x:row r="148" ht="22" customHeight="1">
      <x:c r="A148" s="8" t="d">
        <x:v>2009-10-01T00:00:00.000Z</x:v>
      </x:c>
      <x:c r="B148" s="8" t="d">
        <x:v>2009-09-30T00:00:00.000Z</x:v>
      </x:c>
      <x:c r="C148" s="2" t="str">
        <x:v>TGNA</x:v>
      </x:c>
      <x:c r="D148" s="9" t="n">
        <x:v>0.4538893016</x:v>
      </x:c>
      <x:c r="E148" s="10" t="n">
        <x:v>4.3755438681</x:v>
      </x:c>
      <x:c r="F148" s="10" t="n">
        <x:v>0</x:v>
      </x:c>
      <x:c r="G148" s="11" t="n">
        <x:f>'Summary'!$C$18</x:f>
        <x:v>1000</x:v>
      </x:c>
      <x:c r="H148" s="12" t="n">
        <x:f>G148/E148</x:f>
        <x:v>228.5430177698645</x:v>
      </x:c>
      <x:c r="I148" s="11" t="n">
        <x:f>H148*F148</x:f>
        <x:v>0</x:v>
      </x:c>
      <x:c r="J148" s="10" t="n">
        <x:v>76.2681780697</x:v>
      </x:c>
      <x:c r="K148" s="10" t="n">
        <x:v>778.570007324</x:v>
      </x:c>
      <x:c r="L148" s="11" t="n">
        <x:f>G148*K148/J148</x:f>
        <x:v>10208.320521469388</x:v>
      </x:c>
      <x:c r="M148" s="2" t="str">
        <x:v>written off ($0 rule)</x:v>
      </x:c>
      <x:c r="N148" s="8" t="d">
        <x:v>2026-03-19T00:00:00.000Z</x:v>
      </x:c>
      <x:c r="O148" s="11" t="n">
        <x:f>I148-L148</x:f>
        <x:v>-10208.320521469388</x:v>
      </x:c>
    </x:row>
    <x:row r="149" ht="22" customHeight="1">
      <x:c r="A149" s="8" t="d">
        <x:v>2009-11-02T00:00:00.000Z</x:v>
      </x:c>
      <x:c r="B149" s="8" t="d">
        <x:v>2009-10-30T00:00:00.000Z</x:v>
      </x:c>
      <x:c r="C149" s="2" t="str">
        <x:v>AMZN</x:v>
      </x:c>
      <x:c r="D149" s="9" t="n">
        <x:v>0.2726005786</x:v>
      </x:c>
      <x:c r="E149" s="10" t="n">
        <x:v>5.9330000877</x:v>
      </x:c>
      <x:c r="F149" s="10" t="n">
        <x:v>262.429992676</x:v>
      </x:c>
      <x:c r="G149" s="11" t="n">
        <x:f>'Summary'!$C$18</x:f>
        <x:v>1000</x:v>
      </x:c>
      <x:c r="H149" s="12" t="n">
        <x:f>G149/E149</x:f>
        <x:v>168.54879238467402</x:v>
      </x:c>
      <x:c r="I149" s="11" t="n">
        <x:f>H149*F149</x:f>
        <x:v>44232.25835105864</x:v>
      </x:c>
      <x:c r="J149" s="10" t="n">
        <x:v>77.1049045913</x:v>
      </x:c>
      <x:c r="K149" s="10" t="n">
        <x:v>778.570007324</x:v>
      </x:c>
      <x:c r="L149" s="11" t="n">
        <x:f>G149*K149/J149</x:f>
        <x:v>10097.541932654809</x:v>
      </x:c>
      <x:c r="M149" s="2" t="str">
        <x:v>current price</x:v>
      </x:c>
      <x:c r="N149" s="8" t="d">
        <x:v>2026-10-09T00:00:00.000Z</x:v>
      </x:c>
      <x:c r="O149" s="11" t="n">
        <x:f>I149-L149</x:f>
        <x:v>34134.716418403834</x:v>
      </x:c>
    </x:row>
    <x:row r="150" ht="22" customHeight="1">
      <x:c r="A150" s="8" t="d">
        <x:v>2009-12-01T00:00:00.000Z</x:v>
      </x:c>
      <x:c r="B150" s="8" t="d">
        <x:v>2009-11-30T00:00:00.000Z</x:v>
      </x:c>
      <x:c r="C150" s="2" t="str">
        <x:v>AMD</x:v>
      </x:c>
      <x:c r="D150" s="9" t="n">
        <x:v>0.5239131248</x:v>
      </x:c>
      <x:c r="E150" s="10" t="n">
        <x:v>7.1100001335</x:v>
      </x:c>
      <x:c r="F150" s="10" t="n">
        <x:v>608.099975586</x:v>
      </x:c>
      <x:c r="G150" s="11" t="n">
        <x:f>'Summary'!$C$18</x:f>
        <x:v>1000</x:v>
      </x:c>
      <x:c r="H150" s="12" t="n">
        <x:f>G150/E150</x:f>
        <x:v>140.64697344917428</x:v>
      </x:c>
      <x:c r="I150" s="11" t="n">
        <x:f>H150*F150</x:f>
        <x:v>85527.42112068768</x:v>
      </x:c>
      <x:c r="J150" s="10" t="n">
        <x:v>82.1326812802</x:v>
      </x:c>
      <x:c r="K150" s="10" t="n">
        <x:v>778.570007324</x:v>
      </x:c>
      <x:c r="L150" s="11" t="n">
        <x:f>G150*K150/J150</x:f>
        <x:v>9479.417878345736</x:v>
      </x:c>
      <x:c r="M150" s="2" t="str">
        <x:v>current price</x:v>
      </x:c>
      <x:c r="N150" s="8" t="d">
        <x:v>2026-10-09T00:00:00.000Z</x:v>
      </x:c>
      <x:c r="O150" s="11" t="n">
        <x:f>I150-L150</x:f>
        <x:v>76048.00324234195</x:v>
      </x:c>
    </x:row>
    <x:row r="151" ht="22" customHeight="1">
      <x:c r="A151" s="8" t="d">
        <x:v>2010-01-04T00:00:00.000Z</x:v>
      </x:c>
      <x:c r="B151" s="8" t="d">
        <x:v>2009-12-31T00:00:00.000Z</x:v>
      </x:c>
      <x:c r="C151" s="2" t="str">
        <x:v>TGNA</x:v>
      </x:c>
      <x:c r="D151" s="9" t="n">
        <x:v>0.5056890769</x:v>
      </x:c>
      <x:c r="E151" s="10" t="n">
        <x:v>5.2547131966</x:v>
      </x:c>
      <x:c r="F151" s="10" t="n">
        <x:v>0</x:v>
      </x:c>
      <x:c r="G151" s="11" t="n">
        <x:f>'Summary'!$C$18</x:f>
        <x:v>1000</x:v>
      </x:c>
      <x:c r="H151" s="12" t="n">
        <x:f>G151/E151</x:f>
        <x:v>190.30534352417905</x:v>
      </x:c>
      <x:c r="I151" s="11" t="n">
        <x:f>H151*F151</x:f>
        <x:v>0</x:v>
      </x:c>
      <x:c r="J151" s="10" t="n">
        <x:v>83.6543212406</x:v>
      </x:c>
      <x:c r="K151" s="10" t="n">
        <x:v>778.570007324</x:v>
      </x:c>
      <x:c r="L151" s="11" t="n">
        <x:f>G151*K151/J151</x:f>
        <x:v>9306.990909468239</x:v>
      </x:c>
      <x:c r="M151" s="2" t="str">
        <x:v>written off ($0 rule)</x:v>
      </x:c>
      <x:c r="N151" s="8" t="d">
        <x:v>2026-03-19T00:00:00.000Z</x:v>
      </x:c>
      <x:c r="O151" s="11" t="n">
        <x:f>I151-L151</x:f>
        <x:v>-9306.990909468239</x:v>
      </x:c>
    </x:row>
    <x:row r="152" ht="22" customHeight="1">
      <x:c r="A152" s="8" t="d">
        <x:v>2010-02-01T00:00:00.000Z</x:v>
      </x:c>
      <x:c r="B152" s="8" t="d">
        <x:v>2010-01-29T00:00:00.000Z</x:v>
      </x:c>
      <x:c r="C152" s="2" t="str">
        <x:v>ZION</x:v>
      </x:c>
      <x:c r="D152" s="9" t="n">
        <x:v>0.4785658165</x:v>
      </x:c>
      <x:c r="E152" s="10" t="n">
        <x:v>13.9158577073</x:v>
      </x:c>
      <x:c r="F152" s="10" t="n">
        <x:v>62.4900016785</x:v>
      </x:c>
      <x:c r="G152" s="11" t="n">
        <x:f>'Summary'!$C$18</x:f>
        <x:v>1000</x:v>
      </x:c>
      <x:c r="H152" s="12" t="n">
        <x:f>G152/E152</x:f>
        <x:v>71.86046458892854</x:v>
      </x:c>
      <x:c r="I152" s="11" t="n">
        <x:f>H152*F152</x:f>
        <x:v>4490.560552779934</x:v>
      </x:c>
      <x:c r="J152" s="10" t="n">
        <x:v>80.5127235794</x:v>
      </x:c>
      <x:c r="K152" s="10" t="n">
        <x:v>778.570007324</x:v>
      </x:c>
      <x:c r="L152" s="11" t="n">
        <x:f>G152*K152/J152</x:f>
        <x:v>9670.148676018769</x:v>
      </x:c>
      <x:c r="M152" s="2" t="str">
        <x:v>current price</x:v>
      </x:c>
      <x:c r="N152" s="8" t="d">
        <x:v>2026-10-09T00:00:00.000Z</x:v>
      </x:c>
      <x:c r="O152" s="11" t="n">
        <x:f>I152-L152</x:f>
        <x:v>-5179.588123238835</x:v>
      </x:c>
    </x:row>
    <x:row r="153" ht="22" customHeight="1">
      <x:c r="A153" s="8" t="d">
        <x:v>2010-03-01T00:00:00.000Z</x:v>
      </x:c>
      <x:c r="B153" s="8" t="d">
        <x:v>2010-02-26T00:00:00.000Z</x:v>
      </x:c>
      <x:c r="C153" s="2" t="str">
        <x:v>ARG-201605</x:v>
      </x:c>
      <x:c r="D153" s="9" t="n">
        <x:v>0.5177472787</x:v>
      </x:c>
      <x:c r="E153" s="10" t="n">
        <x:v>56.9078978448</x:v>
      </x:c>
      <x:c r="F153" s="10" t="n">
        <x:v>0</x:v>
      </x:c>
      <x:c r="G153" s="11" t="n">
        <x:f>'Summary'!$C$18</x:f>
        <x:v>1000</x:v>
      </x:c>
      <x:c r="H153" s="12" t="n">
        <x:f>G153/E153</x:f>
        <x:v>17.572253375572117</x:v>
      </x:c>
      <x:c r="I153" s="11" t="n">
        <x:f>H153*F153</x:f>
        <x:v>0</x:v>
      </x:c>
      <x:c r="J153" s="10" t="n">
        <x:v>82.7833055015</x:v>
      </x:c>
      <x:c r="K153" s="10" t="n">
        <x:v>778.570007324</x:v>
      </x:c>
      <x:c r="L153" s="11" t="n">
        <x:f>G153*K153/J153</x:f>
        <x:v>9404.915672398376</x:v>
      </x:c>
      <x:c r="M153" s="2" t="str">
        <x:v>written off ($0 rule)</x:v>
      </x:c>
      <x:c r="N153" s="8" t="d">
        <x:v>2016-05-20T00:00:00.000Z</x:v>
      </x:c>
      <x:c r="O153" s="11" t="n">
        <x:f>I153-L153</x:f>
        <x:v>-9404.915672398376</x:v>
      </x:c>
    </x:row>
    <x:row r="154" ht="22" customHeight="1">
      <x:c r="A154" s="8" t="d">
        <x:v>2010-04-01T00:00:00.000Z</x:v>
      </x:c>
      <x:c r="B154" s="8" t="d">
        <x:v>2010-03-31T00:00:00.000Z</x:v>
      </x:c>
      <x:c r="C154" s="2" t="str">
        <x:v>TIE-201301</x:v>
      </x:c>
      <x:c r="D154" s="9" t="n">
        <x:v>0.4071246819</x:v>
      </x:c>
      <x:c r="E154" s="10" t="n">
        <x:v>16.2329647061</x:v>
      </x:c>
      <x:c r="F154" s="10" t="n">
        <x:v>0</x:v>
      </x:c>
      <x:c r="G154" s="11" t="n">
        <x:f>'Summary'!$C$18</x:f>
        <x:v>1000</x:v>
      </x:c>
      <x:c r="H154" s="12" t="n">
        <x:f>G154/E154</x:f>
        <x:v>61.603041594997215</x:v>
      </x:c>
      <x:c r="I154" s="11" t="n">
        <x:f>H154*F154</x:f>
        <x:v>0</x:v>
      </x:c>
      <x:c r="J154" s="10" t="n">
        <x:v>88.0578473032</x:v>
      </x:c>
      <x:c r="K154" s="10" t="n">
        <x:v>778.570007324</x:v>
      </x:c>
      <x:c r="L154" s="11" t="n">
        <x:f>G154*K154/J154</x:f>
        <x:v>8841.57438738236</x:v>
      </x:c>
      <x:c r="M154" s="2" t="str">
        <x:v>written off ($0 rule)</x:v>
      </x:c>
      <x:c r="N154" s="8" t="d">
        <x:v>2013-01-07T00:00:00.000Z</x:v>
      </x:c>
      <x:c r="O154" s="11" t="n">
        <x:f>I154-L154</x:f>
        <x:v>-8841.57438738236</x:v>
      </x:c>
    </x:row>
    <x:row r="155" ht="22" customHeight="1">
      <x:c r="A155" s="8" t="d">
        <x:v>2010-05-03T00:00:00.000Z</x:v>
      </x:c>
      <x:c r="B155" s="8" t="d">
        <x:v>2010-04-30T00:00:00.000Z</x:v>
      </x:c>
      <x:c r="C155" s="2" t="str">
        <x:v>ZION</x:v>
      </x:c>
      <x:c r="D155" s="9" t="n">
        <x:v>0.3154761603</x:v>
      </x:c>
      <x:c r="E155" s="10" t="n">
        <x:v>21.0560749788</x:v>
      </x:c>
      <x:c r="F155" s="10" t="n">
        <x:v>62.4900016785</x:v>
      </x:c>
      <x:c r="G155" s="11" t="n">
        <x:f>'Summary'!$C$18</x:f>
        <x:v>1000</x:v>
      </x:c>
      <x:c r="H155" s="12" t="n">
        <x:f>G155/E155</x:f>
        <x:v>47.49223209961188</x:v>
      </x:c>
      <x:c r="I155" s="11" t="n">
        <x:f>H155*F155</x:f>
        <x:v>2967.789663620458</x:v>
      </x:c>
      <x:c r="J155" s="10" t="n">
        <x:v>89.2389244214</x:v>
      </x:c>
      <x:c r="K155" s="10" t="n">
        <x:v>778.570007324</x:v>
      </x:c>
      <x:c r="L155" s="11" t="n">
        <x:f>G155*K155/J155</x:f>
        <x:v>8724.556154974169</x:v>
      </x:c>
      <x:c r="M155" s="2" t="str">
        <x:v>current price</x:v>
      </x:c>
      <x:c r="N155" s="8" t="d">
        <x:v>2026-10-09T00:00:00.000Z</x:v>
      </x:c>
      <x:c r="O155" s="11" t="n">
        <x:f>I155-L155</x:f>
        <x:v>-5756.76649135371</x:v>
      </x:c>
    </x:row>
    <x:row r="156" ht="22" customHeight="1">
      <x:c r="A156" s="8" t="d">
        <x:v>2010-06-01T00:00:00.000Z</x:v>
      </x:c>
      <x:c r="B156" s="8" t="d">
        <x:v>2010-05-28T00:00:00.000Z</x:v>
      </x:c>
      <x:c r="C156" s="2" t="str">
        <x:v>S-202004</x:v>
      </x:c>
      <x:c r="D156" s="9" t="n">
        <x:v>0.207769276</x:v>
      </x:c>
      <x:c r="E156" s="10" t="n">
        <x:v>5</x:v>
      </x:c>
      <x:c r="F156" s="10" t="n">
        <x:v>0</x:v>
      </x:c>
      <x:c r="G156" s="11" t="n">
        <x:f>'Summary'!$C$18</x:f>
        <x:v>1000</x:v>
      </x:c>
      <x:c r="H156" s="12" t="n">
        <x:f>G156/E156</x:f>
        <x:v>200</x:v>
      </x:c>
      <x:c r="I156" s="11" t="n">
        <x:f>H156*F156</x:f>
        <x:v>0</x:v>
      </x:c>
      <x:c r="J156" s="10" t="n">
        <x:v>80.9937807622</x:v>
      </x:c>
      <x:c r="K156" s="10" t="n">
        <x:v>778.570007324</x:v>
      </x:c>
      <x:c r="L156" s="11" t="n">
        <x:f>G156*K156/J156</x:f>
        <x:v>9612.713470061402</x:v>
      </x:c>
      <x:c r="M156" s="2" t="str">
        <x:v>written off ($0 rule)</x:v>
      </x:c>
      <x:c r="N156" s="8" t="d">
        <x:v>2020-03-31T00:00:00.000Z</x:v>
      </x:c>
      <x:c r="O156" s="11" t="n">
        <x:f>I156-L156</x:f>
        <x:v>-9612.713470061402</x:v>
      </x:c>
    </x:row>
    <x:row r="157" ht="22" customHeight="1">
      <x:c r="A157" s="8" t="d">
        <x:v>2010-07-01T00:00:00.000Z</x:v>
      </x:c>
      <x:c r="B157" s="8" t="d">
        <x:v>2010-06-30T00:00:00.000Z</x:v>
      </x:c>
      <x:c r="C157" s="2" t="str">
        <x:v>NEM</x:v>
      </x:c>
      <x:c r="D157" s="9" t="n">
        <x:v>0.1492053576</x:v>
      </x:c>
      <x:c r="E157" s="10" t="n">
        <x:v>43.005193971</x:v>
      </x:c>
      <x:c r="F157" s="10" t="n">
        <x:v>117.839996338</x:v>
      </x:c>
      <x:c r="G157" s="11" t="n">
        <x:f>'Summary'!$C$18</x:f>
        <x:v>1000</x:v>
      </x:c>
      <x:c r="H157" s="12" t="n">
        <x:f>G157/E157</x:f>
        <x:v>23.253005222446788</x:v>
      </x:c>
      <x:c r="I157" s="11" t="n">
        <x:f>H157*F157</x:f>
        <x:v>2740.1340502606245</x:v>
      </x:c>
      <x:c r="J157" s="10" t="n">
        <x:v>77.4735285013</x:v>
      </x:c>
      <x:c r="K157" s="10" t="n">
        <x:v>778.570007324</x:v>
      </x:c>
      <x:c r="L157" s="11" t="n">
        <x:f>G157*K157/J157</x:f>
        <x:v>10049.497194528009</x:v>
      </x:c>
      <x:c r="M157" s="2" t="str">
        <x:v>current price</x:v>
      </x:c>
      <x:c r="N157" s="8" t="d">
        <x:v>2026-10-09T00:00:00.000Z</x:v>
      </x:c>
      <x:c r="O157" s="11" t="n">
        <x:f>I157-L157</x:f>
        <x:v>-7309.363144267384</x:v>
      </x:c>
    </x:row>
    <x:row r="158" ht="22" customHeight="1">
      <x:c r="A158" s="8" t="d">
        <x:v>2010-08-02T00:00:00.000Z</x:v>
      </x:c>
      <x:c r="B158" s="8" t="d">
        <x:v>2010-07-30T00:00:00.000Z</x:v>
      </x:c>
      <x:c r="C158" s="2" t="str">
        <x:v>APC-201908</x:v>
      </x:c>
      <x:c r="D158" s="9" t="n">
        <x:v>0.3621501801</x:v>
      </x:c>
      <x:c r="E158" s="10" t="n">
        <x:v>46.7565575093</x:v>
      </x:c>
      <x:c r="F158" s="10" t="n">
        <x:v>0</x:v>
      </x:c>
      <x:c r="G158" s="11" t="n">
        <x:f>'Summary'!$C$18</x:f>
        <x:v>1000</x:v>
      </x:c>
      <x:c r="H158" s="12" t="n">
        <x:f>G158/E158</x:f>
        <x:v>21.387374376334215</x:v>
      </x:c>
      <x:c r="I158" s="11" t="n">
        <x:f>H158*F158</x:f>
        <x:v>0</x:v>
      </x:c>
      <x:c r="J158" s="10" t="n">
        <x:v>84.1130408437</x:v>
      </x:c>
      <x:c r="K158" s="10" t="n">
        <x:v>778.570007324</x:v>
      </x:c>
      <x:c r="L158" s="11" t="n">
        <x:f>G158*K158/J158</x:f>
        <x:v>9256.234223784031</x:v>
      </x:c>
      <x:c r="M158" s="2" t="str">
        <x:v>written off ($0 rule)</x:v>
      </x:c>
      <x:c r="N158" s="8" t="d">
        <x:v>2019-08-08T00:00:00.000Z</x:v>
      </x:c>
      <x:c r="O158" s="11" t="n">
        <x:f>I158-L158</x:f>
        <x:v>-9256.234223784031</x:v>
      </x:c>
    </x:row>
    <x:row r="159" ht="22" customHeight="1">
      <x:c r="A159" s="8" t="d">
        <x:v>2010-09-01T00:00:00.000Z</x:v>
      </x:c>
      <x:c r="B159" s="8" t="d">
        <x:v>2010-08-31T00:00:00.000Z</x:v>
      </x:c>
      <x:c r="C159" s="2" t="str">
        <x:v>MFE-201102</x:v>
      </x:c>
      <x:c r="D159" s="9" t="n">
        <x:v>0.4214501511</x:v>
      </x:c>
      <x:c r="E159" s="10" t="n">
        <x:v>47.17</x:v>
      </x:c>
      <x:c r="F159" s="10" t="n">
        <x:v>0</x:v>
      </x:c>
      <x:c r="G159" s="11" t="n">
        <x:f>'Summary'!$C$18</x:f>
        <x:v>1000</x:v>
      </x:c>
      <x:c r="H159" s="12" t="n">
        <x:f>G159/E159</x:f>
        <x:v>21.1999152003392</x:v>
      </x:c>
      <x:c r="I159" s="11" t="n">
        <x:f>H159*F159</x:f>
        <x:v>0</x:v>
      </x:c>
      <x:c r="J159" s="10" t="n">
        <x:v>80.1623832741</x:v>
      </x:c>
      <x:c r="K159" s="10" t="n">
        <x:v>778.570007324</x:v>
      </x:c>
      <x:c r="L159" s="11" t="n">
        <x:f>G159*K159/J159</x:f>
        <x:v>9712.410927976383</x:v>
      </x:c>
      <x:c r="M159" s="2" t="str">
        <x:v>written off ($0 rule)</x:v>
      </x:c>
      <x:c r="N159" s="8" t="d">
        <x:v>2011-02-28T00:00:00.000Z</x:v>
      </x:c>
      <x:c r="O159" s="11" t="n">
        <x:f>I159-L159</x:f>
        <x:v>-9712.410927976383</x:v>
      </x:c>
    </x:row>
    <x:row r="160" ht="22" customHeight="1">
      <x:c r="A160" s="8" t="d">
        <x:v>2010-10-01T00:00:00.000Z</x:v>
      </x:c>
      <x:c r="B160" s="8" t="d">
        <x:v>2010-09-30T00:00:00.000Z</x:v>
      </x:c>
      <x:c r="C160" s="2" t="str">
        <x:v>JBL</x:v>
      </x:c>
      <x:c r="D160" s="9" t="n">
        <x:v>0.4058536436</x:v>
      </x:c>
      <x:c r="E160" s="10" t="n">
        <x:v>12.4499803107</x:v>
      </x:c>
      <x:c r="F160" s="10" t="n">
        <x:v>306.279998779</x:v>
      </x:c>
      <x:c r="G160" s="11" t="n">
        <x:f>'Summary'!$C$18</x:f>
        <x:v>1000</x:v>
      </x:c>
      <x:c r="H160" s="12" t="n">
        <x:f>G160/E160</x:f>
        <x:v>80.32141216645627</x:v>
      </x:c>
      <x:c r="I160" s="11" t="n">
        <x:f>H160*F160</x:f>
        <x:v>24600.84202026978</x:v>
      </x:c>
      <x:c r="J160" s="10" t="n">
        <x:v>86.8286391592</x:v>
      </x:c>
      <x:c r="K160" s="10" t="n">
        <x:v>778.570007324</x:v>
      </x:c>
      <x:c r="L160" s="11" t="n">
        <x:f>G160*K160/J160</x:f>
        <x:v>8966.74202041212</x:v>
      </x:c>
      <x:c r="M160" s="2" t="str">
        <x:v>current price</x:v>
      </x:c>
      <x:c r="N160" s="8" t="d">
        <x:v>2026-10-09T00:00:00.000Z</x:v>
      </x:c>
      <x:c r="O160" s="11" t="n">
        <x:f>I160-L160</x:f>
        <x:v>15634.09999985766</x:v>
      </x:c>
    </x:row>
    <x:row r="161" ht="22" customHeight="1">
      <x:c r="A161" s="8" t="d">
        <x:v>2010-11-01T00:00:00.000Z</x:v>
      </x:c>
      <x:c r="B161" s="8" t="d">
        <x:v>2010-10-29T00:00:00.000Z</x:v>
      </x:c>
      <x:c r="C161" s="2" t="str">
        <x:v>MWW-201610</x:v>
      </x:c>
      <x:c r="D161" s="9" t="n">
        <x:v>0.3935185185</x:v>
      </x:c>
      <x:c r="E161" s="10" t="n">
        <x:v>18.36</x:v>
      </x:c>
      <x:c r="F161" s="10" t="n">
        <x:v>0</x:v>
      </x:c>
      <x:c r="G161" s="11" t="n">
        <x:f>'Summary'!$C$18</x:f>
        <x:v>1000</x:v>
      </x:c>
      <x:c r="H161" s="12" t="n">
        <x:f>G161/E161</x:f>
        <x:v>54.46623093681917</x:v>
      </x:c>
      <x:c r="I161" s="11" t="n">
        <x:f>H161*F161</x:f>
        <x:v>0</x:v>
      </x:c>
      <x:c r="J161" s="10" t="n">
        <x:v>89.9094376054</x:v>
      </x:c>
      <x:c r="K161" s="10" t="n">
        <x:v>778.570007324</x:v>
      </x:c>
      <x:c r="L161" s="11" t="n">
        <x:f>G161*K161/J161</x:f>
        <x:v>8659.491462298267</x:v>
      </x:c>
      <x:c r="M161" s="2" t="str">
        <x:v>written off ($0 rule)</x:v>
      </x:c>
      <x:c r="N161" s="8" t="d">
        <x:v>2016-10-31T00:00:00.000Z</x:v>
      </x:c>
      <x:c r="O161" s="11" t="n">
        <x:f>I161-L161</x:f>
        <x:v>-8659.491462298267</x:v>
      </x:c>
    </x:row>
    <x:row r="162" ht="22" customHeight="1">
      <x:c r="A162" s="8" t="d">
        <x:v>2010-12-01T00:00:00.000Z</x:v>
      </x:c>
      <x:c r="B162" s="8" t="d">
        <x:v>2010-11-30T00:00:00.000Z</x:v>
      </x:c>
      <x:c r="C162" s="2" t="str">
        <x:v>HAR-201703</x:v>
      </x:c>
      <x:c r="D162" s="9" t="n">
        <x:v>0.2992548435</x:v>
      </x:c>
      <x:c r="E162" s="10" t="n">
        <x:v>42.2080107393</x:v>
      </x:c>
      <x:c r="F162" s="10" t="n">
        <x:v>0</x:v>
      </x:c>
      <x:c r="G162" s="11" t="n">
        <x:f>'Summary'!$C$18</x:f>
        <x:v>1000</x:v>
      </x:c>
      <x:c r="H162" s="12" t="n">
        <x:f>G162/E162</x:f>
        <x:v>23.69218502564721</x:v>
      </x:c>
      <x:c r="I162" s="11" t="n">
        <x:f>H162*F162</x:f>
        <x:v>0</x:v>
      </x:c>
      <x:c r="J162" s="10" t="n">
        <x:v>90.7626955021</x:v>
      </x:c>
      <x:c r="K162" s="10" t="n">
        <x:v>778.570007324</x:v>
      </x:c>
      <x:c r="L162" s="11" t="n">
        <x:f>G162*K162/J162</x:f>
        <x:v>8578.083793313366</x:v>
      </x:c>
      <x:c r="M162" s="2" t="str">
        <x:v>written off ($0 rule)</x:v>
      </x:c>
      <x:c r="N162" s="8" t="d">
        <x:v>2017-03-10T00:00:00.000Z</x:v>
      </x:c>
      <x:c r="O162" s="11" t="n">
        <x:f>I162-L162</x:f>
        <x:v>-8578.083793313366</x:v>
      </x:c>
    </x:row>
    <x:row r="163" ht="22" customHeight="1">
      <x:c r="A163" s="8" t="d">
        <x:v>2011-01-03T00:00:00.000Z</x:v>
      </x:c>
      <x:c r="B163" s="8" t="d">
        <x:v>2010-12-31T00:00:00.000Z</x:v>
      </x:c>
      <x:c r="C163" s="2" t="str">
        <x:v>THC</x:v>
      </x:c>
      <x:c r="D163" s="9" t="n">
        <x:v>0.639705927</x:v>
      </x:c>
      <x:c r="E163" s="10" t="n">
        <x:v>27</x:v>
      </x:c>
      <x:c r="F163" s="10" t="n">
        <x:v>263.779998779</x:v>
      </x:c>
      <x:c r="G163" s="11" t="n">
        <x:f>'Summary'!$C$18</x:f>
        <x:v>1000</x:v>
      </x:c>
      <x:c r="H163" s="12" t="n">
        <x:f>G163/E163</x:f>
        <x:v>37.03703703703704</x:v>
      </x:c>
      <x:c r="I163" s="11" t="n">
        <x:f>H163*F163</x:f>
        <x:v>9769.629584407407</x:v>
      </x:c>
      <x:c r="J163" s="10" t="n">
        <x:v>96.1815576984</x:v>
      </x:c>
      <x:c r="K163" s="10" t="n">
        <x:v>778.570007324</x:v>
      </x:c>
      <x:c r="L163" s="11" t="n">
        <x:f>G163*K163/J163</x:f>
        <x:v>8094.795155692843</x:v>
      </x:c>
      <x:c r="M163" s="2" t="str">
        <x:v>current price</x:v>
      </x:c>
      <x:c r="N163" s="8" t="d">
        <x:v>2026-10-09T00:00:00.000Z</x:v>
      </x:c>
      <x:c r="O163" s="11" t="n">
        <x:f>I163-L163</x:f>
        <x:v>1674.8344287145637</x:v>
      </x:c>
    </x:row>
    <x:row r="164" ht="22" customHeight="1">
      <x:c r="A164" s="8" t="d">
        <x:v>2011-02-01T00:00:00.000Z</x:v>
      </x:c>
      <x:c r="B164" s="8" t="d">
        <x:v>2011-01-31T00:00:00.000Z</x:v>
      </x:c>
      <x:c r="C164" s="2" t="str">
        <x:v>NVDA</x:v>
      </x:c>
      <x:c r="D164" s="9" t="n">
        <x:v>0.5532467657</x:v>
      </x:c>
      <x:c r="E164" s="10" t="n">
        <x:v>0.5517892015</x:v>
      </x:c>
      <x:c r="F164" s="10" t="n">
        <x:v>229.279998779</x:v>
      </x:c>
      <x:c r="G164" s="11" t="n">
        <x:f>'Summary'!$C$18</x:f>
        <x:v>1000</x:v>
      </x:c>
      <x:c r="H164" s="12" t="n">
        <x:f>G164/E164</x:f>
        <x:v>1812.2862812131345</x:v>
      </x:c>
      <x:c r="I164" s="11" t="n">
        <x:f>H164*F164</x:f>
        <x:v>415520.99634374597</x:v>
      </x:c>
      <x:c r="J164" s="10" t="n">
        <x:v>98.2690016214</x:v>
      </x:c>
      <x:c r="K164" s="10" t="n">
        <x:v>778.570007324</x:v>
      </x:c>
      <x:c r="L164" s="11" t="n">
        <x:f>G164*K164/J164</x:f>
        <x:v>7922.84438101436</x:v>
      </x:c>
      <x:c r="M164" s="2" t="str">
        <x:v>current price</x:v>
      </x:c>
      <x:c r="N164" s="8" t="d">
        <x:v>2026-10-09T00:00:00.000Z</x:v>
      </x:c>
      <x:c r="O164" s="11" t="n">
        <x:f>I164-L164</x:f>
        <x:v>407598.1519627316</x:v>
      </x:c>
    </x:row>
    <x:row r="165" ht="22" customHeight="1">
      <x:c r="A165" s="8" t="d">
        <x:v>2011-03-01T00:00:00.000Z</x:v>
      </x:c>
      <x:c r="B165" s="8" t="d">
        <x:v>2011-02-28T00:00:00.000Z</x:v>
      </x:c>
      <x:c r="C165" s="2" t="str">
        <x:v>VIAV</x:v>
      </x:c>
      <x:c r="D165" s="9" t="n">
        <x:v>0.453741879</x:v>
      </x:c>
      <x:c r="E165" s="10" t="n">
        <x:v>14.1865758896</x:v>
      </x:c>
      <x:c r="F165" s="10" t="n">
        <x:v>45.4599990845</x:v>
      </x:c>
      <x:c r="G165" s="11" t="n">
        <x:f>'Summary'!$C$18</x:f>
        <x:v>1000</x:v>
      </x:c>
      <x:c r="H165" s="12" t="n">
        <x:f>G165/E165</x:f>
        <x:v>70.48917284776853</x:v>
      </x:c>
      <x:c r="I165" s="11" t="n">
        <x:f>H165*F165</x:f>
        <x:v>3204.4377331267196</x:v>
      </x:c>
      <x:c r="J165" s="10" t="n">
        <x:v>101.3887732545</x:v>
      </x:c>
      <x:c r="K165" s="10" t="n">
        <x:v>778.570007324</x:v>
      </x:c>
      <x:c r="L165" s="11" t="n">
        <x:f>G165*K165/J165</x:f>
        <x:v>7679.055405569218</x:v>
      </x:c>
      <x:c r="M165" s="2" t="str">
        <x:v>current price</x:v>
      </x:c>
      <x:c r="N165" s="8" t="d">
        <x:v>2026-10-09T00:00:00.000Z</x:v>
      </x:c>
      <x:c r="O165" s="11" t="n">
        <x:f>I165-L165</x:f>
        <x:v>-4474.617672442499</x:v>
      </x:c>
    </x:row>
    <x:row r="166" ht="22" customHeight="1">
      <x:c r="A166" s="8" t="d">
        <x:v>2011-04-01T00:00:00.000Z</x:v>
      </x:c>
      <x:c r="B166" s="8" t="d">
        <x:v>2011-03-31T00:00:00.000Z</x:v>
      </x:c>
      <x:c r="C166" s="2" t="str">
        <x:v>LO-201506</x:v>
      </x:c>
      <x:c r="D166" s="9" t="n">
        <x:v>0.2375928097</x:v>
      </x:c>
      <x:c r="E166" s="10" t="n">
        <x:v>26.081454546</x:v>
      </x:c>
      <x:c r="F166" s="10" t="n">
        <x:v>0</x:v>
      </x:c>
      <x:c r="G166" s="11" t="n">
        <x:f>'Summary'!$C$18</x:f>
        <x:v>1000</x:v>
      </x:c>
      <x:c r="H166" s="12" t="n">
        <x:f>G166/E166</x:f>
        <x:v>38.34141988654408</x:v>
      </x:c>
      <x:c r="I166" s="11" t="n">
        <x:f>H166*F166</x:f>
        <x:v>0</x:v>
      </x:c>
      <x:c r="J166" s="10" t="n">
        <x:v>101.7072421383</x:v>
      </x:c>
      <x:c r="K166" s="10" t="n">
        <x:v>778.570007324</x:v>
      </x:c>
      <x:c r="L166" s="11" t="n">
        <x:f>G166*K166/J166</x:f>
        <x:v>7655.01050815351</x:v>
      </x:c>
      <x:c r="M166" s="2" t="str">
        <x:v>written off ($0 rule)</x:v>
      </x:c>
      <x:c r="N166" s="8" t="d">
        <x:v>2015-06-11T00:00:00.000Z</x:v>
      </x:c>
      <x:c r="O166" s="11" t="n">
        <x:f>I166-L166</x:f>
        <x:v>-7655.01050815351</x:v>
      </x:c>
    </x:row>
    <x:row r="167" ht="22" customHeight="1">
      <x:c r="A167" s="8" t="d">
        <x:v>2011-05-02T00:00:00.000Z</x:v>
      </x:c>
      <x:c r="B167" s="8" t="d">
        <x:v>2011-04-29T00:00:00.000Z</x:v>
      </x:c>
      <x:c r="C167" s="2" t="str">
        <x:v>BIIB</x:v>
      </x:c>
      <x:c r="D167" s="9" t="n">
        <x:v>0.3291139227</x:v>
      </x:c>
      <x:c r="E167" s="10" t="n">
        <x:v>89.7969192678</x:v>
      </x:c>
      <x:c r="F167" s="10" t="n">
        <x:v>225.710006714</x:v>
      </x:c>
      <x:c r="G167" s="11" t="n">
        <x:f>'Summary'!$C$18</x:f>
        <x:v>1000</x:v>
      </x:c>
      <x:c r="H167" s="12" t="n">
        <x:f>G167/E167</x:f>
        <x:v>11.13623950747926</x:v>
      </x:c>
      <x:c r="I167" s="11" t="n">
        <x:f>H167*F167</x:f>
        <x:v>2513.560694001856</x:v>
      </x:c>
      <x:c r="J167" s="10" t="n">
        <x:v>104.4975042512</x:v>
      </x:c>
      <x:c r="K167" s="10" t="n">
        <x:v>778.570007324</x:v>
      </x:c>
      <x:c r="L167" s="11" t="n">
        <x:f>G167*K167/J167</x:f>
        <x:v>7450.608633220628</x:v>
      </x:c>
      <x:c r="M167" s="2" t="str">
        <x:v>current price</x:v>
      </x:c>
      <x:c r="N167" s="8" t="d">
        <x:v>2026-10-09T00:00:00.000Z</x:v>
      </x:c>
      <x:c r="O167" s="11" t="n">
        <x:f>I167-L167</x:f>
        <x:v>-4937.047939218772</x:v>
      </x:c>
    </x:row>
    <x:row r="168" ht="22" customHeight="1">
      <x:c r="A168" s="8" t="d">
        <x:v>2011-06-01T00:00:00.000Z</x:v>
      </x:c>
      <x:c r="B168" s="8" t="d">
        <x:v>2011-05-31T00:00:00.000Z</x:v>
      </x:c>
      <x:c r="C168" s="2" t="str">
        <x:v>DF</x:v>
      </x:c>
      <x:c r="D168" s="9" t="n">
        <x:v>0.2403932082</x:v>
      </x:c>
      <x:c r="E168" s="10" t="n">
        <x:v>25.5248827123</x:v>
      </x:c>
      <x:c r="F168" s="10" t="n">
        <x:v>0</x:v>
      </x:c>
      <x:c r="G168" s="11" t="n">
        <x:f>'Summary'!$C$18</x:f>
        <x:v>1000</x:v>
      </x:c>
      <x:c r="H168" s="12" t="n">
        <x:f>G168/E168</x:f>
        <x:v>39.17745720015071</x:v>
      </x:c>
      <x:c r="I168" s="11" t="n">
        <x:f>H168*F168</x:f>
        <x:v>0</x:v>
      </x:c>
      <x:c r="J168" s="10" t="n">
        <x:v>102.5458376875</x:v>
      </x:c>
      <x:c r="K168" s="10" t="n">
        <x:v>778.570007324</x:v>
      </x:c>
      <x:c r="L168" s="11" t="n">
        <x:f>G168*K168/J168</x:f>
        <x:v>7592.409647055866</x:v>
      </x:c>
      <x:c r="M168" s="2" t="str">
        <x:v>written off ($0 rule)</x:v>
      </x:c>
      <x:c r="N168" s="8" t="d">
        <x:v>2018-03-27T00:00:00.000Z</x:v>
      </x:c>
      <x:c r="O168" s="11" t="n">
        <x:f>I168-L168</x:f>
        <x:v>-7592.409647055866</x:v>
      </x:c>
    </x:row>
    <x:row r="169" ht="22" customHeight="1">
      <x:c r="A169" s="8" t="d">
        <x:v>2011-07-01T00:00:00.000Z</x:v>
      </x:c>
      <x:c r="B169" s="8" t="d">
        <x:v>2011-06-30T00:00:00.000Z</x:v>
      </x:c>
      <x:c r="C169" s="2" t="str">
        <x:v>BIIB</x:v>
      </x:c>
      <x:c r="D169" s="9" t="n">
        <x:v>0.1286814566</x:v>
      </x:c>
      <x:c r="E169" s="10" t="n">
        <x:v>98.9295864618</x:v>
      </x:c>
      <x:c r="F169" s="10" t="n">
        <x:v>225.710006714</x:v>
      </x:c>
      <x:c r="G169" s="11" t="n">
        <x:f>'Summary'!$C$18</x:f>
        <x:v>1000</x:v>
      </x:c>
      <x:c r="H169" s="12" t="n">
        <x:f>G169/E169</x:f>
        <x:v>10.108199536304877</x:v>
      </x:c>
      <x:c r="I169" s="11" t="n">
        <x:f>H169*F169</x:f>
        <x:v>2281.5217852058254</x:v>
      </x:c>
      <x:c r="J169" s="10" t="n">
        <x:v>101.2001570171</x:v>
      </x:c>
      <x:c r="K169" s="10" t="n">
        <x:v>778.570007324</x:v>
      </x:c>
      <x:c r="L169" s="11" t="n">
        <x:f>G169*K169/J169</x:f>
        <x:v>7693.36758234914</x:v>
      </x:c>
      <x:c r="M169" s="2" t="str">
        <x:v>current price</x:v>
      </x:c>
      <x:c r="N169" s="8" t="d">
        <x:v>2026-10-09T00:00:00.000Z</x:v>
      </x:c>
      <x:c r="O169" s="11" t="n">
        <x:f>I169-L169</x:f>
        <x:v>-5411.8457971433145</x:v>
      </x:c>
    </x:row>
    <x:row r="170" ht="22" customHeight="1">
      <x:c r="A170" s="8" t="d">
        <x:v>2011-08-01T00:00:00.000Z</x:v>
      </x:c>
      <x:c r="B170" s="8" t="d">
        <x:v>2011-07-29T00:00:00.000Z</x:v>
      </x:c>
      <x:c r="C170" s="2" t="str">
        <x:v>EQT</x:v>
      </x:c>
      <x:c r="D170" s="9" t="n">
        <x:v>0.208682404</x:v>
      </x:c>
      <x:c r="E170" s="10" t="n">
        <x:v>31.14860827</x:v>
      </x:c>
      <x:c r="F170" s="10" t="n">
        <x:v>52.8300018311</x:v>
      </x:c>
      <x:c r="G170" s="11" t="n">
        <x:f>'Summary'!$C$18</x:f>
        <x:v>1000</x:v>
      </x:c>
      <x:c r="H170" s="12" t="n">
        <x:f>G170/E170</x:f>
        <x:v>32.10416309235636</x:v>
      </x:c>
      <x:c r="I170" s="11" t="n">
        <x:f>H170*F170</x:f>
        <x:v>1696.0629949551194</x:v>
      </x:c>
      <x:c r="J170" s="10" t="n">
        <x:v>100.2424751356</x:v>
      </x:c>
      <x:c r="K170" s="10" t="n">
        <x:v>778.570007324</x:v>
      </x:c>
      <x:c r="L170" s="11" t="n">
        <x:f>G170*K170/J170</x:f>
        <x:v>7766.867351098552</x:v>
      </x:c>
      <x:c r="M170" s="2" t="str">
        <x:v>current price</x:v>
      </x:c>
      <x:c r="N170" s="8" t="d">
        <x:v>2026-10-09T00:00:00.000Z</x:v>
      </x:c>
      <x:c r="O170" s="11" t="n">
        <x:f>I170-L170</x:f>
        <x:v>-6070.804356143432</x:v>
      </x:c>
    </x:row>
    <x:row r="171" ht="22" customHeight="1">
      <x:c r="A171" s="8" t="d">
        <x:v>2011-09-01T00:00:00.000Z</x:v>
      </x:c>
      <x:c r="B171" s="8" t="d">
        <x:v>2011-08-31T00:00:00.000Z</x:v>
      </x:c>
      <x:c r="C171" s="2" t="str">
        <x:v>CF</x:v>
      </x:c>
      <x:c r="D171" s="9" t="n">
        <x:v>0.1797577921</x:v>
      </x:c>
      <x:c r="E171" s="10" t="n">
        <x:v>25.554270634</x:v>
      </x:c>
      <x:c r="F171" s="10" t="n">
        <x:v>111.540000916</x:v>
      </x:c>
      <x:c r="G171" s="11" t="n">
        <x:f>'Summary'!$C$18</x:f>
        <x:v>1000</x:v>
      </x:c>
      <x:c r="H171" s="12" t="n">
        <x:f>G171/E171</x:f>
        <x:v>39.1324023417635</x:v>
      </x:c>
      <x:c r="I171" s="11" t="n">
        <x:f>H171*F171</x:f>
        <x:v>4364.828193045581</x:v>
      </x:c>
      <x:c r="J171" s="10" t="n">
        <x:v>93.691934571</x:v>
      </x:c>
      <x:c r="K171" s="10" t="n">
        <x:v>778.570007324</x:v>
      </x:c>
      <x:c r="L171" s="11" t="n">
        <x:f>G171*K171/J171</x:f>
        <x:v>8309.893598514582</x:v>
      </x:c>
      <x:c r="M171" s="2" t="str">
        <x:v>current price</x:v>
      </x:c>
      <x:c r="N171" s="8" t="d">
        <x:v>2026-10-09T00:00:00.000Z</x:v>
      </x:c>
      <x:c r="O171" s="11" t="n">
        <x:f>I171-L171</x:f>
        <x:v>-3945.0654054690003</x:v>
      </x:c>
    </x:row>
    <x:row r="172" ht="22" customHeight="1">
      <x:c r="A172" s="8" t="d">
        <x:v>2011-10-03T00:00:00.000Z</x:v>
      </x:c>
      <x:c r="B172" s="8" t="d">
        <x:v>2011-09-30T00:00:00.000Z</x:v>
      </x:c>
      <x:c r="C172" s="2" t="str">
        <x:v>SNDK-201605</x:v>
      </x:c>
      <x:c r="D172" s="9" t="n">
        <x:v>0.1010914052</x:v>
      </x:c>
      <x:c r="E172" s="10" t="n">
        <x:v>38.7276506825</x:v>
      </x:c>
      <x:c r="F172" s="10" t="n">
        <x:v>0</x:v>
      </x:c>
      <x:c r="G172" s="11" t="n">
        <x:f>'Summary'!$C$18</x:f>
        <x:v>1000</x:v>
      </x:c>
      <x:c r="H172" s="12" t="n">
        <x:f>G172/E172</x:f>
        <x:v>25.82134424311655</x:v>
      </x:c>
      <x:c r="I172" s="11" t="n">
        <x:f>H172*F172</x:f>
        <x:v>0</x:v>
      </x:c>
      <x:c r="J172" s="10" t="n">
        <x:v>86.6295886201</x:v>
      </x:c>
      <x:c r="K172" s="10" t="n">
        <x:v>778.570007324</x:v>
      </x:c>
      <x:c r="L172" s="11" t="n">
        <x:f>G172*K172/J172</x:f>
        <x:v>8987.345082963426</x:v>
      </x:c>
      <x:c r="M172" s="2" t="str">
        <x:v>written off ($0 rule)</x:v>
      </x:c>
      <x:c r="N172" s="8" t="d">
        <x:v>2016-05-11T00:00:00.000Z</x:v>
      </x:c>
      <x:c r="O172" s="11" t="n">
        <x:f>I172-L172</x:f>
        <x:v>-8987.345082963426</x:v>
      </x:c>
    </x:row>
    <x:row r="173" ht="22" customHeight="1">
      <x:c r="A173" s="8" t="d">
        <x:v>2011-11-01T00:00:00.000Z</x:v>
      </x:c>
      <x:c r="B173" s="8" t="d">
        <x:v>2011-10-31T00:00:00.000Z</x:v>
      </x:c>
      <x:c r="C173" s="2" t="str">
        <x:v>HAR-201703</x:v>
      </x:c>
      <x:c r="D173" s="9" t="n">
        <x:v>0.5127714727</x:v>
      </x:c>
      <x:c r="E173" s="10" t="n">
        <x:v>38.4710295929</x:v>
      </x:c>
      <x:c r="F173" s="10" t="n">
        <x:v>0</x:v>
      </x:c>
      <x:c r="G173" s="11" t="n">
        <x:f>'Summary'!$C$18</x:f>
        <x:v>1000</x:v>
      </x:c>
      <x:c r="H173" s="12" t="n">
        <x:f>G173/E173</x:f>
        <x:v>25.993585578082744</x:v>
      </x:c>
      <x:c r="I173" s="11" t="n">
        <x:f>H173*F173</x:f>
        <x:v>0</x:v>
      </x:c>
      <x:c r="J173" s="10" t="n">
        <x:v>93.9764316318</x:v>
      </x:c>
      <x:c r="K173" s="10" t="n">
        <x:v>778.570007324</x:v>
      </x:c>
      <x:c r="L173" s="11" t="n">
        <x:f>G173*K173/J173</x:f>
        <x:v>8284.736862263935</x:v>
      </x:c>
      <x:c r="M173" s="2" t="str">
        <x:v>written off ($0 rule)</x:v>
      </x:c>
      <x:c r="N173" s="8" t="d">
        <x:v>2017-03-10T00:00:00.000Z</x:v>
      </x:c>
      <x:c r="O173" s="11" t="n">
        <x:f>I173-L173</x:f>
        <x:v>-8284.736862263935</x:v>
      </x:c>
    </x:row>
    <x:row r="174" ht="22" customHeight="1">
      <x:c r="A174" s="8" t="d">
        <x:v>2011-12-01T00:00:00.000Z</x:v>
      </x:c>
      <x:c r="B174" s="8" t="d">
        <x:v>2011-11-30T00:00:00.000Z</x:v>
      </x:c>
      <x:c r="C174" s="2" t="str">
        <x:v>EL</x:v>
      </x:c>
      <x:c r="D174" s="9" t="n">
        <x:v>0.2098211974</x:v>
      </x:c>
      <x:c r="E174" s="10" t="n">
        <x:v>48.6152685011</x:v>
      </x:c>
      <x:c r="F174" s="10" t="n">
        <x:v>98.0500030518</x:v>
      </x:c>
      <x:c r="G174" s="11" t="n">
        <x:f>'Summary'!$C$18</x:f>
        <x:v>1000</x:v>
      </x:c>
      <x:c r="H174" s="12" t="n">
        <x:f>G174/E174</x:f>
        <x:v>20.569669382312956</x:v>
      </x:c>
      <x:c r="I174" s="11" t="n">
        <x:f>H174*F174</x:f>
        <x:v>2016.8561457103024</x:v>
      </x:c>
      <x:c r="J174" s="10" t="n">
        <x:v>96.1481395</x:v>
      </x:c>
      <x:c r="K174" s="10" t="n">
        <x:v>778.570007324</x:v>
      </x:c>
      <x:c r="L174" s="11" t="n">
        <x:f>G174*K174/J174</x:f>
        <x:v>8097.608662765649</x:v>
      </x:c>
      <x:c r="M174" s="2" t="str">
        <x:v>current price</x:v>
      </x:c>
      <x:c r="N174" s="8" t="d">
        <x:v>2026-10-09T00:00:00.000Z</x:v>
      </x:c>
      <x:c r="O174" s="11" t="n">
        <x:f>I174-L174</x:f>
        <x:v>-6080.752517055346</x:v>
      </x:c>
    </x:row>
    <x:row r="175" ht="22" customHeight="1">
      <x:c r="A175" s="8" t="d">
        <x:v>2012-01-03T00:00:00.000Z</x:v>
      </x:c>
      <x:c r="B175" s="8" t="d">
        <x:v>2011-12-30T00:00:00.000Z</x:v>
      </x:c>
      <x:c r="C175" s="2" t="str">
        <x:v>TGNA</x:v>
      </x:c>
      <x:c r="D175" s="9" t="n">
        <x:v>0.2373425297</x:v>
      </x:c>
      <x:c r="E175" s="10" t="n">
        <x:v>5.5338634205</x:v>
      </x:c>
      <x:c r="F175" s="10" t="n">
        <x:v>0</x:v>
      </x:c>
      <x:c r="G175" s="11" t="n">
        <x:f>'Summary'!$C$18</x:f>
        <x:v>1000</x:v>
      </x:c>
      <x:c r="H175" s="12" t="n">
        <x:f>G175/E175</x:f>
        <x:v>180.70558017307323</x:v>
      </x:c>
      <x:c r="I175" s="11" t="n">
        <x:f>H175*F175</x:f>
        <x:v>0</x:v>
      </x:c>
      <x:c r="J175" s="10" t="n">
        <x:v>99.0131587184</x:v>
      </x:c>
      <x:c r="K175" s="10" t="n">
        <x:v>778.570007324</x:v>
      </x:c>
      <x:c r="L175" s="11" t="n">
        <x:f>G175*K175/J175</x:f>
        <x:v>7863.298347427787</x:v>
      </x:c>
      <x:c r="M175" s="2" t="str">
        <x:v>written off ($0 rule)</x:v>
      </x:c>
      <x:c r="N175" s="8" t="d">
        <x:v>2026-03-19T00:00:00.000Z</x:v>
      </x:c>
      <x:c r="O175" s="11" t="n">
        <x:f>I175-L175</x:f>
        <x:v>-7863.298347427787</x:v>
      </x:c>
    </x:row>
    <x:row r="176" ht="22" customHeight="1">
      <x:c r="A176" s="8" t="d">
        <x:v>2012-02-01T00:00:00.000Z</x:v>
      </x:c>
      <x:c r="B176" s="8" t="d">
        <x:v>2012-01-31T00:00:00.000Z</x:v>
      </x:c>
      <x:c r="C176" s="2" t="str">
        <x:v>NFLX</x:v>
      </x:c>
      <x:c r="D176" s="9" t="n">
        <x:v>0.73473848</x:v>
      </x:c>
      <x:c r="E176" s="10" t="n">
        <x:v>1.7344290018</x:v>
      </x:c>
      <x:c r="F176" s="10" t="n">
        <x:v>70.3000030518</x:v>
      </x:c>
      <x:c r="G176" s="11" t="n">
        <x:f>'Summary'!$C$18</x:f>
        <x:v>1000</x:v>
      </x:c>
      <x:c r="H176" s="12" t="n">
        <x:f>G176/E176</x:f>
        <x:v>576.5586247475075</x:v>
      </x:c>
      <x:c r="I176" s="11" t="n">
        <x:f>H176*F176</x:f>
        <x:v>40532.07307929139</x:v>
      </x:c>
      <x:c r="J176" s="10" t="n">
        <x:v>102.523871971</x:v>
      </x:c>
      <x:c r="K176" s="10" t="n">
        <x:v>778.570007324</x:v>
      </x:c>
      <x:c r="L176" s="11" t="n">
        <x:f>G176*K176/J176</x:f>
        <x:v>7594.036319114313</x:v>
      </x:c>
      <x:c r="M176" s="2" t="str">
        <x:v>current price</x:v>
      </x:c>
      <x:c r="N176" s="8" t="d">
        <x:v>2026-10-09T00:00:00.000Z</x:v>
      </x:c>
      <x:c r="O176" s="11" t="n">
        <x:f>I176-L176</x:f>
        <x:v>32938.03676017708</x:v>
      </x:c>
    </x:row>
    <x:row r="177" ht="22" customHeight="1">
      <x:c r="A177" s="8" t="d">
        <x:v>2012-03-01T00:00:00.000Z</x:v>
      </x:c>
      <x:c r="B177" s="8" t="d">
        <x:v>2012-02-29T00:00:00.000Z</x:v>
      </x:c>
      <x:c r="C177" s="2" t="str">
        <x:v>WHR</x:v>
      </x:c>
      <x:c r="D177" s="9" t="n">
        <x:v>0.4003952754</x:v>
      </x:c>
      <x:c r="E177" s="10" t="n">
        <x:v>46.9535689348</x:v>
      </x:c>
      <x:c r="F177" s="10" t="n">
        <x:v>28.8299999237</x:v>
      </x:c>
      <x:c r="G177" s="11" t="n">
        <x:f>'Summary'!$C$18</x:f>
        <x:v>1000</x:v>
      </x:c>
      <x:c r="H177" s="12" t="n">
        <x:f>G177/E177</x:f>
        <x:v>21.29763557246534</x:v>
      </x:c>
      <x:c r="I177" s="11" t="n">
        <x:f>H177*F177</x:f>
        <x:v>614.0108319291661</x:v>
      </x:c>
      <x:c r="J177" s="10" t="n">
        <x:v>106.4143421621</x:v>
      </x:c>
      <x:c r="K177" s="10" t="n">
        <x:v>778.570007324</x:v>
      </x:c>
      <x:c r="L177" s="11" t="n">
        <x:f>G177*K177/J177</x:f>
        <x:v>7316.401074377844</x:v>
      </x:c>
      <x:c r="M177" s="2" t="str">
        <x:v>current price</x:v>
      </x:c>
      <x:c r="N177" s="8" t="d">
        <x:v>2026-10-09T00:00:00.000Z</x:v>
      </x:c>
      <x:c r="O177" s="11" t="n">
        <x:f>I177-L177</x:f>
        <x:v>-6702.390242448679</x:v>
      </x:c>
    </x:row>
    <x:row r="178" ht="22" customHeight="1">
      <x:c r="A178" s="8" t="d">
        <x:v>2012-04-02T00:00:00.000Z</x:v>
      </x:c>
      <x:c r="B178" s="8" t="d">
        <x:v>2012-03-30T00:00:00.000Z</x:v>
      </x:c>
      <x:c r="C178" s="2" t="str">
        <x:v>RHT</x:v>
      </x:c>
      <x:c r="D178" s="9" t="n">
        <x:v>0.2108774767</x:v>
      </x:c>
      <x:c r="E178" s="10" t="n">
        <x:v>59.67</x:v>
      </x:c>
      <x:c r="F178" s="10" t="n">
        <x:v>0</x:v>
      </x:c>
      <x:c r="G178" s="11" t="n">
        <x:f>'Summary'!$C$18</x:f>
        <x:v>1000</x:v>
      </x:c>
      <x:c r="H178" s="12" t="n">
        <x:f>G178/E178</x:f>
        <x:v>16.758840288252053</x:v>
      </x:c>
      <x:c r="I178" s="11" t="n">
        <x:f>H178*F178</x:f>
        <x:v>0</x:v>
      </x:c>
      <x:c r="J178" s="10" t="n">
        <x:v>109.4727311923</x:v>
      </x:c>
      <x:c r="K178" s="10" t="n">
        <x:v>778.570007324</x:v>
      </x:c>
      <x:c r="L178" s="11" t="n">
        <x:f>G178*K178/J178</x:f>
        <x:v>7111.999480093015</x:v>
      </x:c>
      <x:c r="M178" s="2" t="str">
        <x:v>written off ($0 rule)</x:v>
      </x:c>
      <x:c r="N178" s="8" t="d">
        <x:v>2019-07-08T00:00:00.000Z</x:v>
      </x:c>
      <x:c r="O178" s="11" t="n">
        <x:f>I178-L178</x:f>
        <x:v>-7111.999480093015</x:v>
      </x:c>
    </x:row>
    <x:row r="179" ht="22" customHeight="1">
      <x:c r="A179" s="8" t="d">
        <x:v>2012-05-01T00:00:00.000Z</x:v>
      </x:c>
      <x:c r="B179" s="8" t="d">
        <x:v>2012-04-30T00:00:00.000Z</x:v>
      </x:c>
      <x:c r="C179" s="2" t="str">
        <x:v>EXPE</x:v>
      </x:c>
      <x:c r="D179" s="9" t="n">
        <x:v>0.2754187583</x:v>
      </x:c>
      <x:c r="E179" s="10" t="n">
        <x:v>37.0339142089</x:v>
      </x:c>
      <x:c r="F179" s="10" t="n">
        <x:v>274.220001221</x:v>
      </x:c>
      <x:c r="G179" s="11" t="n">
        <x:f>'Summary'!$C$18</x:f>
        <x:v>1000</x:v>
      </x:c>
      <x:c r="H179" s="12" t="n">
        <x:f>G179/E179</x:f>
        <x:v>27.002276733677796</x:v>
      </x:c>
      <x:c r="I179" s="11" t="n">
        <x:f>H179*F179</x:f>
        <x:v>7404.564358878905</x:v>
      </x:c>
      <x:c r="J179" s="10" t="n">
        <x:v>108.8110951704</x:v>
      </x:c>
      <x:c r="K179" s="10" t="n">
        <x:v>778.570007324</x:v>
      </x:c>
      <x:c r="L179" s="11" t="n">
        <x:f>G179*K179/J179</x:f>
        <x:v>7155.244656849987</x:v>
      </x:c>
      <x:c r="M179" s="2" t="str">
        <x:v>current price</x:v>
      </x:c>
      <x:c r="N179" s="8" t="d">
        <x:v>2026-10-09T00:00:00.000Z</x:v>
      </x:c>
      <x:c r="O179" s="11" t="n">
        <x:f>I179-L179</x:f>
        <x:v>249.31970202891807</x:v>
      </x:c>
    </x:row>
    <x:row r="180" ht="22" customHeight="1">
      <x:c r="A180" s="8" t="d">
        <x:v>2012-06-01T00:00:00.000Z</x:v>
      </x:c>
      <x:c r="B180" s="8" t="d">
        <x:v>2012-05-31T00:00:00.000Z</x:v>
      </x:c>
      <x:c r="C180" s="2" t="str">
        <x:v>DF</x:v>
      </x:c>
      <x:c r="D180" s="9" t="n">
        <x:v>0.2736156352</x:v>
      </x:c>
      <x:c r="E180" s="10" t="n">
        <x:v>28.5908237616</x:v>
      </x:c>
      <x:c r="F180" s="10" t="n">
        <x:v>0</x:v>
      </x:c>
      <x:c r="G180" s="11" t="n">
        <x:f>'Summary'!$C$18</x:f>
        <x:v>1000</x:v>
      </x:c>
      <x:c r="H180" s="12" t="n">
        <x:f>G180/E180</x:f>
        <x:v>34.97625700953354</x:v>
      </x:c>
      <x:c r="I180" s="11" t="n">
        <x:f>H180*F180</x:f>
        <x:v>0</x:v>
      </x:c>
      <x:c r="J180" s="10" t="n">
        <x:v>100.7314178466</x:v>
      </x:c>
      <x:c r="K180" s="10" t="n">
        <x:v>778.570007324</x:v>
      </x:c>
      <x:c r="L180" s="11" t="n">
        <x:f>G180*K180/J180</x:f>
        <x:v>7729.167562295751</x:v>
      </x:c>
      <x:c r="M180" s="2" t="str">
        <x:v>written off ($0 rule)</x:v>
      </x:c>
      <x:c r="N180" s="8" t="d">
        <x:v>2018-03-27T00:00:00.000Z</x:v>
      </x:c>
      <x:c r="O180" s="11" t="n">
        <x:f>I180-L180</x:f>
        <x:v>-7729.167562295751</x:v>
      </x:c>
    </x:row>
    <x:row r="181" ht="22" customHeight="1">
      <x:c r="A181" s="8" t="d">
        <x:v>2012-07-02T00:00:00.000Z</x:v>
      </x:c>
      <x:c r="B181" s="8" t="d">
        <x:v>2012-06-29T00:00:00.000Z</x:v>
      </x:c>
      <x:c r="C181" s="2" t="str">
        <x:v>STZ</x:v>
      </x:c>
      <x:c r="D181" s="9" t="n">
        <x:v>0.4027992836</x:v>
      </x:c>
      <x:c r="E181" s="10" t="n">
        <x:v>22.4161246378</x:v>
      </x:c>
      <x:c r="F181" s="10" t="n">
        <x:v>122.63999939</x:v>
      </x:c>
      <x:c r="G181" s="11" t="n">
        <x:f>'Summary'!$C$18</x:f>
        <x:v>1000</x:v>
      </x:c>
      <x:c r="H181" s="12" t="n">
        <x:f>G181/E181</x:f>
        <x:v>44.61074410309594</x:v>
      </x:c>
      <x:c r="I181" s="11" t="n">
        <x:f>H181*F181</x:f>
        <x:v>5471.061629591132</x:v>
      </x:c>
      <x:c r="J181" s="10" t="n">
        <x:v>106.7850738314</x:v>
      </x:c>
      <x:c r="K181" s="10" t="n">
        <x:v>778.570007324</x:v>
      </x:c>
      <x:c r="L181" s="11" t="n">
        <x:f>G181*K181/J181</x:f>
        <x:v>7291.000318576946</x:v>
      </x:c>
      <x:c r="M181" s="2" t="str">
        <x:v>current price</x:v>
      </x:c>
      <x:c r="N181" s="8" t="d">
        <x:v>2026-10-09T00:00:00.000Z</x:v>
      </x:c>
      <x:c r="O181" s="11" t="n">
        <x:f>I181-L181</x:f>
        <x:v>-1819.9386889858133</x:v>
      </x:c>
    </x:row>
    <x:row r="182" ht="22" customHeight="1">
      <x:c r="A182" s="8" t="d">
        <x:v>2012-08-01T00:00:00.000Z</x:v>
      </x:c>
      <x:c r="B182" s="8" t="d">
        <x:v>2012-07-31T00:00:00.000Z</x:v>
      </x:c>
      <x:c r="C182" s="2" t="str">
        <x:v>TMUS</x:v>
      </x:c>
      <x:c r="D182" s="9" t="n">
        <x:v>0.4479338765</x:v>
      </x:c>
      <x:c r="E182" s="10" t="n">
        <x:v>13.478682677</x:v>
      </x:c>
      <x:c r="F182" s="10" t="n">
        <x:v>148.580001831</x:v>
      </x:c>
      <x:c r="G182" s="11" t="n">
        <x:f>'Summary'!$C$18</x:f>
        <x:v>1000</x:v>
      </x:c>
      <x:c r="H182" s="12" t="n">
        <x:f>G182/E182</x:f>
        <x:v>74.19122654370358</x:v>
      </x:c>
      <x:c r="I182" s="11" t="n">
        <x:f>H182*F182</x:f>
        <x:v>11023.332575707615</x:v>
      </x:c>
      <x:c r="J182" s="10" t="n">
        <x:v>108.5220536205</x:v>
      </x:c>
      <x:c r="K182" s="10" t="n">
        <x:v>778.570007324</x:v>
      </x:c>
      <x:c r="L182" s="11" t="n">
        <x:f>G182*K182/J182</x:f>
        <x:v>7174.302193420037</x:v>
      </x:c>
      <x:c r="M182" s="2" t="str">
        <x:v>current price</x:v>
      </x:c>
      <x:c r="N182" s="8" t="d">
        <x:v>2026-10-09T00:00:00.000Z</x:v>
      </x:c>
      <x:c r="O182" s="11" t="n">
        <x:f>I182-L182</x:f>
        <x:v>3849.0303822875776</x:v>
      </x:c>
    </x:row>
    <x:row r="183" ht="22" customHeight="1">
      <x:c r="A183" s="8" t="d">
        <x:v>2012-09-04T00:00:00.000Z</x:v>
      </x:c>
      <x:c r="B183" s="8" t="d">
        <x:v>2012-08-31T00:00:00.000Z</x:v>
      </x:c>
      <x:c r="C183" s="2" t="str">
        <x:v>ANDV-201809</x:v>
      </x:c>
      <x:c r="D183" s="9" t="n">
        <x:v>0.441624332</x:v>
      </x:c>
      <x:c r="E183" s="10" t="n">
        <x:v>35.2079763025</x:v>
      </x:c>
      <x:c r="F183" s="10" t="n">
        <x:v>0</x:v>
      </x:c>
      <x:c r="G183" s="11" t="n">
        <x:f>'Summary'!$C$18</x:f>
        <x:v>1000</x:v>
      </x:c>
      <x:c r="H183" s="12" t="n">
        <x:f>G183/E183</x:f>
        <x:v>28.402654881615373</x:v>
      </x:c>
      <x:c r="I183" s="11" t="n">
        <x:f>H183*F183</x:f>
        <x:v>0</x:v>
      </x:c>
      <x:c r="J183" s="10" t="n">
        <x:v>110.3529203381</x:v>
      </x:c>
      <x:c r="K183" s="10" t="n">
        <x:v>778.570007324</x:v>
      </x:c>
      <x:c r="L183" s="11" t="n">
        <x:f>G183*K183/J183</x:f>
        <x:v>7055.273253653932</x:v>
      </x:c>
      <x:c r="M183" s="2" t="str">
        <x:v>written off ($0 rule)</x:v>
      </x:c>
      <x:c r="N183" s="8" t="d">
        <x:v>2018-09-28T00:00:00.000Z</x:v>
      </x:c>
      <x:c r="O183" s="11" t="n">
        <x:f>I183-L183</x:f>
        <x:v>-7055.273253653932</x:v>
      </x:c>
    </x:row>
    <x:row r="184" ht="22" customHeight="1">
      <x:c r="A184" s="8" t="d">
        <x:v>2012-10-01T00:00:00.000Z</x:v>
      </x:c>
      <x:c r="B184" s="8" t="d">
        <x:v>2012-09-28T00:00:00.000Z</x:v>
      </x:c>
      <x:c r="C184" s="2" t="str">
        <x:v>VMC</x:v>
      </x:c>
      <x:c r="D184" s="9" t="n">
        <x:v>0.2153135011</x:v>
      </x:c>
      <x:c r="E184" s="10" t="n">
        <x:v>42.7809284132</x:v>
      </x:c>
      <x:c r="F184" s="10" t="n">
        <x:v>244.580001831</x:v>
      </x:c>
      <x:c r="G184" s="11" t="n">
        <x:f>'Summary'!$C$18</x:f>
        <x:v>1000</x:v>
      </x:c>
      <x:c r="H184" s="12" t="n">
        <x:f>G184/E184</x:f>
        <x:v>23.374901786644052</x:v>
      </x:c>
      <x:c r="I184" s="11" t="n">
        <x:f>H184*F184</x:f>
        <x:v>5717.033521776848</x:v>
      </x:c>
      <x:c r="J184" s="10" t="n">
        <x:v>113.6793747487</x:v>
      </x:c>
      <x:c r="K184" s="10" t="n">
        <x:v>778.570007324</x:v>
      </x:c>
      <x:c r="L184" s="11" t="n">
        <x:f>G184*K184/J184</x:f>
        <x:v>6848.823799788743</x:v>
      </x:c>
      <x:c r="M184" s="2" t="str">
        <x:v>current price</x:v>
      </x:c>
      <x:c r="N184" s="8" t="d">
        <x:v>2026-10-09T00:00:00.000Z</x:v>
      </x:c>
      <x:c r="O184" s="11" t="n">
        <x:f>I184-L184</x:f>
        <x:v>-1131.7902780118948</x:v>
      </x:c>
    </x:row>
    <x:row r="185" ht="22" customHeight="1">
      <x:c r="A185" s="8" t="d">
        <x:v>2012-11-01T00:00:00.000Z</x:v>
      </x:c>
      <x:c r="B185" s="8" t="d">
        <x:v>2012-10-31T00:00:00.000Z</x:v>
      </x:c>
      <x:c r="C185" s="2" t="str">
        <x:v>NFLX</x:v>
      </x:c>
      <x:c r="D185" s="9" t="n">
        <x:v>0.4555478608</x:v>
      </x:c>
      <x:c r="E185" s="10" t="n">
        <x:v>1.1121430397</x:v>
      </x:c>
      <x:c r="F185" s="10" t="n">
        <x:v>70.3000030518</x:v>
      </x:c>
      <x:c r="G185" s="11" t="n">
        <x:f>'Summary'!$C$18</x:f>
        <x:v>1000</x:v>
      </x:c>
      <x:c r="H185" s="12" t="n">
        <x:f>G185/E185</x:f>
        <x:v>899.1649134177466</x:v>
      </x:c>
      <x:c r="I185" s="11" t="n">
        <x:f>H185*F185</x:f>
        <x:v>63211.29615733907</x:v>
      </x:c>
      <x:c r="J185" s="10" t="n">
        <x:v>111.4218257912</x:v>
      </x:c>
      <x:c r="K185" s="10" t="n">
        <x:v>778.570007324</x:v>
      </x:c>
      <x:c r="L185" s="11" t="n">
        <x:f>G185*K185/J185</x:f>
        <x:v>6987.589745504698</x:v>
      </x:c>
      <x:c r="M185" s="2" t="str">
        <x:v>current price</x:v>
      </x:c>
      <x:c r="N185" s="8" t="d">
        <x:v>2026-10-09T00:00:00.000Z</x:v>
      </x:c>
      <x:c r="O185" s="11" t="n">
        <x:f>I185-L185</x:f>
        <x:v>56223.70641183437</x:v>
      </x:c>
    </x:row>
    <x:row r="186" ht="22" customHeight="1">
      <x:c r="A186" s="8" t="d">
        <x:v>2012-12-03T00:00:00.000Z</x:v>
      </x:c>
      <x:c r="B186" s="8" t="d">
        <x:v>2012-11-30T00:00:00.000Z</x:v>
      </x:c>
      <x:c r="C186" s="2" t="str">
        <x:v>ANF</x:v>
      </x:c>
      <x:c r="D186" s="9" t="n">
        <x:v>0.5066696844</x:v>
      </x:c>
      <x:c r="E186" s="10" t="n">
        <x:v>35.0032535225</x:v>
      </x:c>
      <x:c r="F186" s="10" t="n">
        <x:v>142.580001831</x:v>
      </x:c>
      <x:c r="G186" s="11" t="n">
        <x:f>'Summary'!$C$18</x:f>
        <x:v>1000</x:v>
      </x:c>
      <x:c r="H186" s="12" t="n">
        <x:f>G186/E186</x:f>
        <x:v>28.568772881560925</x:v>
      </x:c>
      <x:c r="I186" s="11" t="n">
        <x:f>H186*F186</x:f>
        <x:v>4073.33568976238</x:v>
      </x:c>
      <x:c r="J186" s="10" t="n">
        <x:v>112.3264225112</x:v>
      </x:c>
      <x:c r="K186" s="10" t="n">
        <x:v>778.570007324</x:v>
      </x:c>
      <x:c r="L186" s="11" t="n">
        <x:f>G186*K186/J186</x:f>
        <x:v>6931.316692173378</x:v>
      </x:c>
      <x:c r="M186" s="2" t="str">
        <x:v>current price</x:v>
      </x:c>
      <x:c r="N186" s="8" t="d">
        <x:v>2026-10-09T00:00:00.000Z</x:v>
      </x:c>
      <x:c r="O186" s="11" t="n">
        <x:f>I186-L186</x:f>
        <x:v>-2857.9810024109984</x:v>
      </x:c>
    </x:row>
    <x:row r="187" ht="22" customHeight="1">
      <x:c r="A187" s="8" t="d">
        <x:v>2013-01-02T00:00:00.000Z</x:v>
      </x:c>
      <x:c r="B187" s="8" t="d">
        <x:v>2012-12-31T00:00:00.000Z</x:v>
      </x:c>
      <x:c r="C187" s="2" t="str">
        <x:v>NYX-201311</x:v>
      </x:c>
      <x:c r="D187" s="9" t="n">
        <x:v>0.3683144772</x:v>
      </x:c>
      <x:c r="E187" s="10" t="n">
        <x:v>31.1025727353</x:v>
      </x:c>
      <x:c r="F187" s="10" t="n">
        <x:v>0</x:v>
      </x:c>
      <x:c r="G187" s="11" t="n">
        <x:f>'Summary'!$C$18</x:f>
        <x:v>1000</x:v>
      </x:c>
      <x:c r="H187" s="12" t="n">
        <x:f>G187/E187</x:f>
        <x:v>32.15168110080635</x:v>
      </x:c>
      <x:c r="I187" s="11" t="n">
        <x:f>H187*F187</x:f>
        <x:v>0</x:v>
      </x:c>
      <x:c r="J187" s="10" t="n">
        <x:v>114.9530162447</x:v>
      </x:c>
      <x:c r="K187" s="10" t="n">
        <x:v>778.570007324</x:v>
      </x:c>
      <x:c r="L187" s="11" t="n">
        <x:f>G187*K187/J187</x:f>
        <x:v>6772.941091573111</x:v>
      </x:c>
      <x:c r="M187" s="2" t="str">
        <x:v>written off ($0 rule)</x:v>
      </x:c>
      <x:c r="N187" s="8" t="d">
        <x:v>2013-11-12T00:00:00.000Z</x:v>
      </x:c>
      <x:c r="O187" s="11" t="n">
        <x:f>I187-L187</x:f>
        <x:v>-6772.941091573111</x:v>
      </x:c>
    </x:row>
    <x:row r="188" ht="22" customHeight="1">
      <x:c r="A188" s="8" t="d">
        <x:v>2013-02-01T00:00:00.000Z</x:v>
      </x:c>
      <x:c r="B188" s="8" t="d">
        <x:v>2013-01-31T00:00:00.000Z</x:v>
      </x:c>
      <x:c r="C188" s="2" t="str">
        <x:v>NFLX</x:v>
      </x:c>
      <x:c r="D188" s="9" t="n">
        <x:v>0.7846420005</x:v>
      </x:c>
      <x:c r="E188" s="10" t="n">
        <x:v>2.4285709858</x:v>
      </x:c>
      <x:c r="F188" s="10" t="n">
        <x:v>70.3000030518</x:v>
      </x:c>
      <x:c r="G188" s="11" t="n">
        <x:f>'Summary'!$C$18</x:f>
        <x:v>1000</x:v>
      </x:c>
      <x:c r="H188" s="12" t="n">
        <x:f>G188/E188</x:f>
        <x:v>411.76478095433896</x:v>
      </x:c>
      <x:c r="I188" s="11" t="n">
        <x:f>H188*F188</x:f>
        <x:v>28947.06535771379</x:v>
      </x:c>
      <x:c r="J188" s="10" t="n">
        <x:v>119.341679573</x:v>
      </x:c>
      <x:c r="K188" s="10" t="n">
        <x:v>778.570007324</x:v>
      </x:c>
      <x:c r="L188" s="11" t="n">
        <x:f>G188*K188/J188</x:f>
        <x:v>6523.873386981765</x:v>
      </x:c>
      <x:c r="M188" s="2" t="str">
        <x:v>current price</x:v>
      </x:c>
      <x:c r="N188" s="8" t="d">
        <x:v>2026-10-09T00:00:00.000Z</x:v>
      </x:c>
      <x:c r="O188" s="11" t="n">
        <x:f>I188-L188</x:f>
        <x:v>22423.191970732023</x:v>
      </x:c>
    </x:row>
    <x:row r="189" ht="22" customHeight="1">
      <x:c r="A189" s="8" t="d">
        <x:v>2013-03-01T00:00:00.000Z</x:v>
      </x:c>
      <x:c r="B189" s="8" t="d">
        <x:v>2013-02-28T00:00:00.000Z</x:v>
      </x:c>
      <x:c r="C189" s="2" t="str">
        <x:v>STZ</x:v>
      </x:c>
      <x:c r="D189" s="9" t="n">
        <x:v>0.3671199272</x:v>
      </x:c>
      <x:c r="E189" s="10" t="n">
        <x:v>37.0025331451</x:v>
      </x:c>
      <x:c r="F189" s="10" t="n">
        <x:v>122.63999939</x:v>
      </x:c>
      <x:c r="G189" s="11" t="n">
        <x:f>'Summary'!$C$18</x:f>
        <x:v>1000</x:v>
      </x:c>
      <x:c r="H189" s="12" t="n">
        <x:f>G189/E189</x:f>
        <x:v>27.02517679204953</x:v>
      </x:c>
      <x:c r="I189" s="11" t="n">
        <x:f>H189*F189</x:f>
        <x:v>3314.3676652915965</x:v>
      </x:c>
      <x:c r="J189" s="10" t="n">
        <x:v>119.6902400286</x:v>
      </x:c>
      <x:c r="K189" s="10" t="n">
        <x:v>778.570007324</x:v>
      </x:c>
      <x:c r="L189" s="11" t="n">
        <x:f>G189*K189/J189</x:f>
        <x:v>6504.874642560334</x:v>
      </x:c>
      <x:c r="M189" s="2" t="str">
        <x:v>current price</x:v>
      </x:c>
      <x:c r="N189" s="8" t="d">
        <x:v>2026-10-09T00:00:00.000Z</x:v>
      </x:c>
      <x:c r="O189" s="11" t="n">
        <x:f>I189-L189</x:f>
        <x:v>-3190.5069772687375</x:v>
      </x:c>
    </x:row>
    <x:row r="190" ht="22" customHeight="1">
      <x:c r="A190" s="8" t="d">
        <x:v>2013-04-01T00:00:00.000Z</x:v>
      </x:c>
      <x:c r="B190" s="8" t="d">
        <x:v>2013-03-28T00:00:00.000Z</x:v>
      </x:c>
      <x:c r="C190" s="2" t="str">
        <x:v>BBY</x:v>
      </x:c>
      <x:c r="D190" s="9" t="n">
        <x:v>0.3602358736</x:v>
      </x:c>
      <x:c r="E190" s="10" t="n">
        <x:v>13.7089133395</x:v>
      </x:c>
      <x:c r="F190" s="10" t="n">
        <x:v>87.0100021362</x:v>
      </x:c>
      <x:c r="G190" s="11" t="n">
        <x:f>'Summary'!$C$18</x:f>
        <x:v>1000</x:v>
      </x:c>
      <x:c r="H190" s="12" t="n">
        <x:f>G190/E190</x:f>
        <x:v>72.94524191926014</x:v>
      </x:c>
      <x:c r="I190" s="11" t="n">
        <x:f>H190*F190</x:f>
        <x:v>6346.965655220451</x:v>
      </x:c>
      <x:c r="J190" s="10" t="n">
        <x:v>124.5989453313</x:v>
      </x:c>
      <x:c r="K190" s="10" t="n">
        <x:v>778.570007324</x:v>
      </x:c>
      <x:c r="L190" s="11" t="n">
        <x:f>G190*K190/J190</x:f>
        <x:v>6248.6083269311475</x:v>
      </x:c>
      <x:c r="M190" s="2" t="str">
        <x:v>current price</x:v>
      </x:c>
      <x:c r="N190" s="8" t="d">
        <x:v>2026-10-09T00:00:00.000Z</x:v>
      </x:c>
      <x:c r="O190" s="11" t="n">
        <x:f>I190-L190</x:f>
        <x:v>98.35732828930304</x:v>
      </x:c>
    </x:row>
    <x:row r="191" ht="22" customHeight="1">
      <x:c r="A191" s="8" t="d">
        <x:v>2013-05-01T00:00:00.000Z</x:v>
      </x:c>
      <x:c r="B191" s="8" t="d">
        <x:v>2013-04-30T00:00:00.000Z</x:v>
      </x:c>
      <x:c r="C191" s="2" t="str">
        <x:v>FSLR</x:v>
      </x:c>
      <x:c r="D191" s="9" t="n">
        <x:v>0.7270030769</x:v>
      </x:c>
      <x:c r="E191" s="10" t="n">
        <x:v>46.7000007629</x:v>
      </x:c>
      <x:c r="F191" s="10" t="n">
        <x:v>177.820007324</x:v>
      </x:c>
      <x:c r="G191" s="11" t="n">
        <x:f>'Summary'!$C$18</x:f>
        <x:v>1000</x:v>
      </x:c>
      <x:c r="H191" s="12" t="n">
        <x:f>G191/E191</x:f>
        <x:v>21.413275881452076</x:v>
      </x:c>
      <x:c r="I191" s="11" t="n">
        <x:f>H191*F191</x:f>
        <x:v>3807.7088740706404</x:v>
      </x:c>
      <x:c r="J191" s="10" t="n">
        <x:v>126.7791726942</x:v>
      </x:c>
      <x:c r="K191" s="10" t="n">
        <x:v>778.570007324</x:v>
      </x:c>
      <x:c r="L191" s="11" t="n">
        <x:f>G191*K191/J191</x:f>
        <x:v>6141.150717255144</x:v>
      </x:c>
      <x:c r="M191" s="2" t="str">
        <x:v>current price</x:v>
      </x:c>
      <x:c r="N191" s="8" t="d">
        <x:v>2026-10-09T00:00:00.000Z</x:v>
      </x:c>
      <x:c r="O191" s="11" t="n">
        <x:f>I191-L191</x:f>
        <x:v>-2333.4418431845033</x:v>
      </x:c>
    </x:row>
    <x:row r="192" ht="22" customHeight="1">
      <x:c r="A192" s="8" t="d">
        <x:v>2013-06-03T00:00:00.000Z</x:v>
      </x:c>
      <x:c r="B192" s="8" t="d">
        <x:v>2013-05-31T00:00:00.000Z</x:v>
      </x:c>
      <x:c r="C192" s="2" t="str">
        <x:v>AMD</x:v>
      </x:c>
      <x:c r="D192" s="9" t="n">
        <x:v>0.4184397499</x:v>
      </x:c>
      <x:c r="E192" s="10" t="n">
        <x:v>4.0199999809</x:v>
      </x:c>
      <x:c r="F192" s="10" t="n">
        <x:v>608.099975586</x:v>
      </x:c>
      <x:c r="G192" s="11" t="n">
        <x:f>'Summary'!$C$18</x:f>
        <x:v>1000</x:v>
      </x:c>
      <x:c r="H192" s="12" t="n">
        <x:f>G192/E192</x:f>
        <x:v>248.7562200873741</x:v>
      </x:c>
      <x:c r="I192" s="11" t="n">
        <x:f>H192*F192</x:f>
        <x:v>151268.65136199782</x:v>
      </x:c>
      <x:c r="J192" s="10" t="n">
        <x:v>130.3598308907</x:v>
      </x:c>
      <x:c r="K192" s="10" t="n">
        <x:v>778.570007324</x:v>
      </x:c>
      <x:c r="L192" s="11" t="n">
        <x:f>G192*K192/J192</x:f>
        <x:v>5972.46868152806</x:v>
      </x:c>
      <x:c r="M192" s="2" t="str">
        <x:v>current price</x:v>
      </x:c>
      <x:c r="N192" s="8" t="d">
        <x:v>2026-10-09T00:00:00.000Z</x:v>
      </x:c>
      <x:c r="O192" s="11" t="n">
        <x:f>I192-L192</x:f>
        <x:v>145296.18268046976</x:v>
      </x:c>
    </x:row>
    <x:row r="193" ht="22" customHeight="1">
      <x:c r="A193" s="8" t="d">
        <x:v>2013-07-01T00:00:00.000Z</x:v>
      </x:c>
      <x:c r="B193" s="8" t="d">
        <x:v>2013-06-28T00:00:00.000Z</x:v>
      </x:c>
      <x:c r="C193" s="2" t="str">
        <x:v>GME</x:v>
      </x:c>
      <x:c r="D193" s="9" t="n">
        <x:v>0.267490922</x:v>
      </x:c>
      <x:c r="E193" s="10" t="n">
        <x:v>7.4795522242</x:v>
      </x:c>
      <x:c r="F193" s="10" t="n">
        <x:v>26.5599994659</x:v>
      </x:c>
      <x:c r="G193" s="11" t="n">
        <x:f>'Summary'!$C$18</x:f>
        <x:v>1000</x:v>
      </x:c>
      <x:c r="H193" s="12" t="n">
        <x:f>G193/E193</x:f>
        <x:v>133.69784313618564</x:v>
      </x:c>
      <x:c r="I193" s="11" t="n">
        <x:f>H193*F193</x:f>
        <x:v>3551.0146422890725</x:v>
      </x:c>
      <x:c r="J193" s="10" t="n">
        <x:v>128.9938288892</x:v>
      </x:c>
      <x:c r="K193" s="10" t="n">
        <x:v>778.570007324</x:v>
      </x:c>
      <x:c r="L193" s="11" t="n">
        <x:f>G193*K193/J193</x:f>
        <x:v>6035.715150317441</x:v>
      </x:c>
      <x:c r="M193" s="2" t="str">
        <x:v>current price</x:v>
      </x:c>
      <x:c r="N193" s="8" t="d">
        <x:v>2026-10-09T00:00:00.000Z</x:v>
      </x:c>
      <x:c r="O193" s="11" t="n">
        <x:f>I193-L193</x:f>
        <x:v>-2484.7005080283684</x:v>
      </x:c>
    </x:row>
    <x:row r="194" ht="22" customHeight="1">
      <x:c r="A194" s="8" t="d">
        <x:v>2013-08-01T00:00:00.000Z</x:v>
      </x:c>
      <x:c r="B194" s="8" t="d">
        <x:v>2013-07-31T00:00:00.000Z</x:v>
      </x:c>
      <x:c r="C194" s="2" t="str">
        <x:v>OKE</x:v>
      </x:c>
      <x:c r="D194" s="9" t="n">
        <x:v>0.2817719994</x:v>
      </x:c>
      <x:c r="E194" s="10" t="n">
        <x:v>21.6928871722</x:v>
      </x:c>
      <x:c r="F194" s="10" t="n">
        <x:v>89.8000030518</x:v>
      </x:c>
      <x:c r="G194" s="11" t="n">
        <x:f>'Summary'!$C$18</x:f>
        <x:v>1000</x:v>
      </x:c>
      <x:c r="H194" s="12" t="n">
        <x:f>G194/E194</x:f>
        <x:v>46.09805933446822</x:v>
      </x:c>
      <x:c r="I194" s="11" t="n">
        <x:f>H194*F194</x:f>
        <x:v>4139.605868917303</x:v>
      </x:c>
      <x:c r="J194" s="10" t="n">
        <x:v>135.9770707443</x:v>
      </x:c>
      <x:c r="K194" s="10" t="n">
        <x:v>778.570007324</x:v>
      </x:c>
      <x:c r="L194" s="11" t="n">
        <x:f>G194*K194/J194</x:f>
        <x:v>5725.744811697503</x:v>
      </x:c>
      <x:c r="M194" s="2" t="str">
        <x:v>current price</x:v>
      </x:c>
      <x:c r="N194" s="8" t="d">
        <x:v>2026-10-09T00:00:00.000Z</x:v>
      </x:c>
      <x:c r="O194" s="11" t="n">
        <x:f>I194-L194</x:f>
        <x:v>-1586.1389427801996</x:v>
      </x:c>
    </x:row>
    <x:row r="195" ht="22" customHeight="1">
      <x:c r="A195" s="8" t="d">
        <x:v>2013-09-03T00:00:00.000Z</x:v>
      </x:c>
      <x:c r="B195" s="8" t="d">
        <x:v>2013-08-30T00:00:00.000Z</x:v>
      </x:c>
      <x:c r="C195" s="2" t="str">
        <x:v>BBY</x:v>
      </x:c>
      <x:c r="D195" s="9" t="n">
        <x:v>0.1964107616</x:v>
      </x:c>
      <x:c r="E195" s="10" t="n">
        <x:v>22.7130512524</x:v>
      </x:c>
      <x:c r="F195" s="10" t="n">
        <x:v>87.0100021362</x:v>
      </x:c>
      <x:c r="G195" s="11" t="n">
        <x:f>'Summary'!$C$18</x:f>
        <x:v>1000</x:v>
      </x:c>
      <x:c r="H195" s="12" t="n">
        <x:f>G195/E195</x:f>
        <x:v>44.0275500146346</x:v>
      </x:c>
      <x:c r="I195" s="11" t="n">
        <x:f>H195*F195</x:f>
        <x:v>3830.837220825009</x:v>
      </x:c>
      <x:c r="J195" s="10" t="n">
        <x:v>132.1694810996</x:v>
      </x:c>
      <x:c r="K195" s="10" t="n">
        <x:v>778.570007324</x:v>
      </x:c>
      <x:c r="L195" s="11" t="n">
        <x:f>G195*K195/J195</x:f>
        <x:v>5890.6942877175015</x:v>
      </x:c>
      <x:c r="M195" s="2" t="str">
        <x:v>current price</x:v>
      </x:c>
      <x:c r="N195" s="8" t="d">
        <x:v>2026-10-09T00:00:00.000Z</x:v>
      </x:c>
      <x:c r="O195" s="11" t="n">
        <x:f>I195-L195</x:f>
        <x:v>-2059.8570668924926</x:v>
      </x:c>
    </x:row>
    <x:row r="196" ht="22" customHeight="1">
      <x:c r="A196" s="8" t="d">
        <x:v>2013-10-01T00:00:00.000Z</x:v>
      </x:c>
      <x:c r="B196" s="8" t="d">
        <x:v>2013-09-30T00:00:00.000Z</x:v>
      </x:c>
      <x:c r="C196" s="2" t="str">
        <x:v>REGN</x:v>
      </x:c>
      <x:c r="D196" s="9" t="n">
        <x:v>0.2911972196</x:v>
      </x:c>
      <x:c r="E196" s="10" t="n">
        <x:v>313.6204181784</x:v>
      </x:c>
      <x:c r="F196" s="10" t="n">
        <x:v>746.539978027</x:v>
      </x:c>
      <x:c r="G196" s="11" t="n">
        <x:f>'Summary'!$C$18</x:f>
        <x:v>1000</x:v>
      </x:c>
      <x:c r="H196" s="12" t="n">
        <x:f>G196/E196</x:f>
        <x:v>3.188567905776975</x:v>
      </x:c>
      <x:c r="I196" s="11" t="n">
        <x:f>H196*F196</x:f>
        <x:v>2380.39341431634</x:v>
      </x:c>
      <x:c r="J196" s="10" t="n">
        <x:v>135.1528087128</x:v>
      </x:c>
      <x:c r="K196" s="10" t="n">
        <x:v>778.570007324</x:v>
      </x:c>
      <x:c r="L196" s="11" t="n">
        <x:f>G196*K196/J196</x:f>
        <x:v>5760.664648697481</x:v>
      </x:c>
      <x:c r="M196" s="2" t="str">
        <x:v>current price</x:v>
      </x:c>
      <x:c r="N196" s="8" t="d">
        <x:v>2026-10-09T00:00:00.000Z</x:v>
      </x:c>
      <x:c r="O196" s="11" t="n">
        <x:f>I196-L196</x:f>
        <x:v>-3380.2712343811413</x:v>
      </x:c>
    </x:row>
    <x:row r="197" ht="22" customHeight="1">
      <x:c r="A197" s="8" t="d">
        <x:v>2013-11-01T00:00:00.000Z</x:v>
      </x:c>
      <x:c r="B197" s="8" t="d">
        <x:v>2013-10-31T00:00:00.000Z</x:v>
      </x:c>
      <x:c r="C197" s="2" t="str">
        <x:v>CLF</x:v>
      </x:c>
      <x:c r="D197" s="9" t="n">
        <x:v>0.2526829417</x:v>
      </x:c>
      <x:c r="E197" s="10" t="n">
        <x:v>23.3888658866</x:v>
      </x:c>
      <x:c r="F197" s="10" t="n">
        <x:v>12.9799995422</x:v>
      </x:c>
      <x:c r="G197" s="11" t="n">
        <x:f>'Summary'!$C$18</x:f>
        <x:v>1000</x:v>
      </x:c>
      <x:c r="H197" s="12" t="n">
        <x:f>G197/E197</x:f>
        <x:v>42.755386466725696</x:v>
      </x:c>
      <x:c r="I197" s="11" t="n">
        <x:f>H197*F197</x:f>
        <x:v>554.9648967646837</x:v>
      </x:c>
      <x:c r="J197" s="10" t="n">
        <x:v>141.4868446128</x:v>
      </x:c>
      <x:c r="K197" s="10" t="n">
        <x:v>778.570007324</x:v>
      </x:c>
      <x:c r="L197" s="11" t="n">
        <x:f>G197*K197/J197</x:f>
        <x:v>5502.773133818015</x:v>
      </x:c>
      <x:c r="M197" s="2" t="str">
        <x:v>current price</x:v>
      </x:c>
      <x:c r="N197" s="8" t="d">
        <x:v>2026-10-09T00:00:00.000Z</x:v>
      </x:c>
      <x:c r="O197" s="11" t="n">
        <x:f>I197-L197</x:f>
        <x:v>-4947.808237053331</x:v>
      </x:c>
    </x:row>
    <x:row r="198" ht="22" customHeight="1">
      <x:c r="A198" s="8" t="d">
        <x:v>2013-12-02T00:00:00.000Z</x:v>
      </x:c>
      <x:c r="B198" s="8" t="d">
        <x:v>2013-11-29T00:00:00.000Z</x:v>
      </x:c>
      <x:c r="C198" s="2" t="str">
        <x:v>JCP</x:v>
      </x:c>
      <x:c r="D198" s="9" t="n">
        <x:v>0.3586666667</x:v>
      </x:c>
      <x:c r="E198" s="10" t="n">
        <x:v>9.97</x:v>
      </x:c>
      <x:c r="F198" s="10" t="n">
        <x:v>0</x:v>
      </x:c>
      <x:c r="G198" s="11" t="n">
        <x:f>'Summary'!$C$18</x:f>
        <x:v>1000</x:v>
      </x:c>
      <x:c r="H198" s="12" t="n">
        <x:f>G198/E198</x:f>
        <x:v>100.30090270812437</x:v>
      </x:c>
      <x:c r="I198" s="11" t="n">
        <x:f>H198*F198</x:f>
        <x:v>0</x:v>
      </x:c>
      <x:c r="J198" s="10" t="n">
        <x:v>145.56216084</x:v>
      </x:c>
      <x:c r="K198" s="10" t="n">
        <x:v>778.570007324</x:v>
      </x:c>
      <x:c r="L198" s="11" t="n">
        <x:f>G198*K198/J198</x:f>
        <x:v>5348.711525241742</x:v>
      </x:c>
      <x:c r="M198" s="2" t="str">
        <x:v>written off ($0 rule)</x:v>
      </x:c>
      <x:c r="N198" s="8" t="d">
        <x:v>2018-03-27T00:00:00.000Z</x:v>
      </x:c>
      <x:c r="O198" s="11" t="n">
        <x:f>I198-L198</x:f>
        <x:v>-5348.711525241742</x:v>
      </x:c>
    </x:row>
    <x:row r="199" ht="22" customHeight="1">
      <x:c r="A199" s="8" t="d">
        <x:v>2014-01-02T00:00:00.000Z</x:v>
      </x:c>
      <x:c r="B199" s="8" t="d">
        <x:v>2013-12-31T00:00:00.000Z</x:v>
      </x:c>
      <x:c r="C199" s="2" t="str">
        <x:v>RHT</x:v>
      </x:c>
      <x:c r="D199" s="9" t="n">
        <x:v>0.1961579509</x:v>
      </x:c>
      <x:c r="E199" s="10" t="n">
        <x:v>55.95</x:v>
      </x:c>
      <x:c r="F199" s="10" t="n">
        <x:v>0</x:v>
      </x:c>
      <x:c r="G199" s="11" t="n">
        <x:f>'Summary'!$C$18</x:f>
        <x:v>1000</x:v>
      </x:c>
      <x:c r="H199" s="12" t="n">
        <x:f>G199/E199</x:f>
        <x:v>17.873100983020553</x:v>
      </x:c>
      <x:c r="I199" s="11" t="n">
        <x:f>H199*F199</x:f>
        <x:v>0</x:v>
      </x:c>
      <x:c r="J199" s="10" t="n">
        <x:v>148.6880523877</x:v>
      </x:c>
      <x:c r="K199" s="10" t="n">
        <x:v>778.570007324</x:v>
      </x:c>
      <x:c r="L199" s="11" t="n">
        <x:f>G199*K199/J199</x:f>
        <x:v>5236.264749059327</x:v>
      </x:c>
      <x:c r="M199" s="2" t="str">
        <x:v>written off ($0 rule)</x:v>
      </x:c>
      <x:c r="N199" s="8" t="d">
        <x:v>2019-07-08T00:00:00.000Z</x:v>
      </x:c>
      <x:c r="O199" s="11" t="n">
        <x:f>I199-L199</x:f>
        <x:v>-5236.264749059327</x:v>
      </x:c>
    </x:row>
    <x:row r="200" ht="22" customHeight="1">
      <x:c r="A200" s="8" t="d">
        <x:v>2014-02-03T00:00:00.000Z</x:v>
      </x:c>
      <x:c r="B200" s="8" t="d">
        <x:v>2014-01-31T00:00:00.000Z</x:v>
      </x:c>
      <x:c r="C200" s="2" t="str">
        <x:v>HAR-201703</x:v>
      </x:c>
      <x:c r="D200" s="9" t="n">
        <x:v>0.2636530238</x:v>
      </x:c>
      <x:c r="E200" s="10" t="n">
        <x:v>98.8306563989</x:v>
      </x:c>
      <x:c r="F200" s="10" t="n">
        <x:v>0</x:v>
      </x:c>
      <x:c r="G200" s="11" t="n">
        <x:f>'Summary'!$C$18</x:f>
        <x:v>1000</x:v>
      </x:c>
      <x:c r="H200" s="12" t="n">
        <x:f>G200/E200</x:f>
        <x:v>10.118317902936948</x:v>
      </x:c>
      <x:c r="I200" s="11" t="n">
        <x:f>H200*F200</x:f>
        <x:v>0</x:v>
      </x:c>
      <x:c r="J200" s="10" t="n">
        <x:v>143.830924445</x:v>
      </x:c>
      <x:c r="K200" s="10" t="n">
        <x:v>778.570007324</x:v>
      </x:c>
      <x:c r="L200" s="11" t="n">
        <x:f>G200*K200/J200</x:f>
        <x:v>5413.0918669143375</x:v>
      </x:c>
      <x:c r="M200" s="2" t="str">
        <x:v>written off ($0 rule)</x:v>
      </x:c>
      <x:c r="N200" s="8" t="d">
        <x:v>2017-03-10T00:00:00.000Z</x:v>
      </x:c>
      <x:c r="O200" s="11" t="n">
        <x:f>I200-L200</x:f>
        <x:v>-5413.0918669143375</x:v>
      </x:c>
    </x:row>
    <x:row r="201" ht="22" customHeight="1">
      <x:c r="A201" s="8" t="d">
        <x:v>2014-03-03T00:00:00.000Z</x:v>
      </x:c>
      <x:c r="B201" s="8" t="d">
        <x:v>2014-02-28T00:00:00.000Z</x:v>
      </x:c>
      <x:c r="C201" s="2" t="str">
        <x:v>FRX-201406</x:v>
      </x:c>
      <x:c r="D201" s="9" t="n">
        <x:v>0.4716440422</x:v>
      </x:c>
      <x:c r="E201" s="10" t="n">
        <x:v>95.38</x:v>
      </x:c>
      <x:c r="F201" s="10" t="n">
        <x:v>0</x:v>
      </x:c>
      <x:c r="G201" s="11" t="n">
        <x:f>'Summary'!$C$18</x:f>
        <x:v>1000</x:v>
      </x:c>
      <x:c r="H201" s="12" t="n">
        <x:f>G201/E201</x:f>
        <x:v>10.484378276368211</x:v>
      </x:c>
      <x:c r="I201" s="11" t="n">
        <x:f>H201*F201</x:f>
        <x:v>0</x:v>
      </x:c>
      <x:c r="J201" s="10" t="n">
        <x:v>149.2295282267</x:v>
      </x:c>
      <x:c r="K201" s="10" t="n">
        <x:v>778.570007324</x:v>
      </x:c>
      <x:c r="L201" s="11" t="n">
        <x:f>G201*K201/J201</x:f>
        <x:v>5217.265085374028</x:v>
      </x:c>
      <x:c r="M201" s="2" t="str">
        <x:v>written off ($0 rule)</x:v>
      </x:c>
      <x:c r="N201" s="8" t="d">
        <x:v>2014-06-30T00:00:00.000Z</x:v>
      </x:c>
      <x:c r="O201" s="11" t="n">
        <x:f>I201-L201</x:f>
        <x:v>-5217.265085374028</x:v>
      </x:c>
    </x:row>
    <x:row r="202" ht="22" customHeight="1">
      <x:c r="A202" s="8" t="d">
        <x:v>2014-04-01T00:00:00.000Z</x:v>
      </x:c>
      <x:c r="B202" s="8" t="d">
        <x:v>2014-03-31T00:00:00.000Z</x:v>
      </x:c>
      <x:c r="C202" s="2" t="str">
        <x:v>FSLR</x:v>
      </x:c>
      <x:c r="D202" s="9" t="n">
        <x:v>0.2228841999</x:v>
      </x:c>
      <x:c r="E202" s="10" t="n">
        <x:v>70.0400009155</x:v>
      </x:c>
      <x:c r="F202" s="10" t="n">
        <x:v>177.820007324</x:v>
      </x:c>
      <x:c r="G202" s="11" t="n">
        <x:f>'Summary'!$C$18</x:f>
        <x:v>1000</x:v>
      </x:c>
      <x:c r="H202" s="12" t="n">
        <x:f>G202/E202</x:f>
        <x:v>14.277555495843774</x:v>
      </x:c>
      <x:c r="I202" s="11" t="n">
        <x:f>H202*F202</x:f>
        <x:v>2538.835022839756</x:v>
      </x:c>
      <x:c r="J202" s="10" t="n">
        <x:v>152.2990327224</x:v>
      </x:c>
      <x:c r="K202" s="10" t="n">
        <x:v>778.570007324</x:v>
      </x:c>
      <x:c r="L202" s="11" t="n">
        <x:f>G202*K202/J202</x:f>
        <x:v>5112.113934059731</x:v>
      </x:c>
      <x:c r="M202" s="2" t="str">
        <x:v>current price</x:v>
      </x:c>
      <x:c r="N202" s="8" t="d">
        <x:v>2026-10-09T00:00:00.000Z</x:v>
      </x:c>
      <x:c r="O202" s="11" t="n">
        <x:f>I202-L202</x:f>
        <x:v>-2573.278911219975</x:v>
      </x:c>
    </x:row>
    <x:row r="203" ht="22" customHeight="1">
      <x:c r="A203" s="8" t="d">
        <x:v>2014-05-01T00:00:00.000Z</x:v>
      </x:c>
      <x:c r="B203" s="8" t="d">
        <x:v>2014-04-30T00:00:00.000Z</x:v>
      </x:c>
      <x:c r="C203" s="2" t="str">
        <x:v>POM-201603</x:v>
      </x:c>
      <x:c r="D203" s="9" t="n">
        <x:v>0.306640625</x:v>
      </x:c>
      <x:c r="E203" s="10" t="n">
        <x:v>24.8929472065</x:v>
      </x:c>
      <x:c r="F203" s="10" t="n">
        <x:v>0</x:v>
      </x:c>
      <x:c r="G203" s="11" t="n">
        <x:f>'Summary'!$C$18</x:f>
        <x:v>1000</x:v>
      </x:c>
      <x:c r="H203" s="12" t="n">
        <x:f>G203/E203</x:f>
        <x:v>40.172021083099466</x:v>
      </x:c>
      <x:c r="I203" s="11" t="n">
        <x:f>H203*F203</x:f>
        <x:v>0</x:v>
      </x:c>
      <x:c r="J203" s="10" t="n">
        <x:v>152.7860828863</x:v>
      </x:c>
      <x:c r="K203" s="10" t="n">
        <x:v>778.570007324</x:v>
      </x:c>
      <x:c r="L203" s="11" t="n">
        <x:f>G203*K203/J203</x:f>
        <x:v>5095.817581130046</x:v>
      </x:c>
      <x:c r="M203" s="2" t="str">
        <x:v>written off ($0 rule)</x:v>
      </x:c>
      <x:c r="N203" s="8" t="d">
        <x:v>2016-03-23T00:00:00.000Z</x:v>
      </x:c>
      <x:c r="O203" s="11" t="n">
        <x:f>I203-L203</x:f>
        <x:v>-5095.817581130046</x:v>
      </x:c>
    </x:row>
    <x:row r="204" ht="22" customHeight="1">
      <x:c r="A204" s="8" t="d">
        <x:v>2014-06-02T00:00:00.000Z</x:v>
      </x:c>
      <x:c r="B204" s="8" t="d">
        <x:v>2014-05-30T00:00:00.000Z</x:v>
      </x:c>
      <x:c r="C204" s="2" t="str">
        <x:v>NFLX</x:v>
      </x:c>
      <x:c r="D204" s="9" t="n">
        <x:v>0.2974475692</x:v>
      </x:c>
      <x:c r="E204" s="10" t="n">
        <x:v>5.9925708771</x:v>
      </x:c>
      <x:c r="F204" s="10" t="n">
        <x:v>70.3000030518</x:v>
      </x:c>
      <x:c r="G204" s="11" t="n">
        <x:f>'Summary'!$C$18</x:f>
        <x:v>1000</x:v>
      </x:c>
      <x:c r="H204" s="12" t="n">
        <x:f>G204/E204</x:f>
        <x:v>166.87328702634093</x:v>
      </x:c>
      <x:c r="I204" s="11" t="n">
        <x:f>H204*F204</x:f>
        <x:v>11731.192587215666</x:v>
      </x:c>
      <x:c r="J204" s="10" t="n">
        <x:v>156.6256191441</x:v>
      </x:c>
      <x:c r="K204" s="10" t="n">
        <x:v>778.570007324</x:v>
      </x:c>
      <x:c r="L204" s="11" t="n">
        <x:f>G204*K204/J204</x:f>
        <x:v>4970.898193913561</x:v>
      </x:c>
      <x:c r="M204" s="2" t="str">
        <x:v>current price</x:v>
      </x:c>
      <x:c r="N204" s="8" t="d">
        <x:v>2026-10-09T00:00:00.000Z</x:v>
      </x:c>
      <x:c r="O204" s="11" t="n">
        <x:f>I204-L204</x:f>
        <x:v>6760.294393302105</x:v>
      </x:c>
    </x:row>
    <x:row r="205" ht="22" customHeight="1">
      <x:c r="A205" s="8" t="d">
        <x:v>2014-07-01T00:00:00.000Z</x:v>
      </x:c>
      <x:c r="B205" s="8" t="d">
        <x:v>2014-06-30T00:00:00.000Z</x:v>
      </x:c>
      <x:c r="C205" s="2" t="str">
        <x:v>VRTX</x:v>
      </x:c>
      <x:c r="D205" s="9" t="n">
        <x:v>0.3102684404</x:v>
      </x:c>
      <x:c r="E205" s="10" t="n">
        <x:v>93.8700027466</x:v>
      </x:c>
      <x:c r="F205" s="10" t="n">
        <x:v>510.079986572</x:v>
      </x:c>
      <x:c r="G205" s="11" t="n">
        <x:f>'Summary'!$C$18</x:f>
        <x:v>1000</x:v>
      </x:c>
      <x:c r="H205" s="12" t="n">
        <x:f>G205/E205</x:f>
        <x:v>10.653030475555413</x:v>
      </x:c>
      <x:c r="I205" s="11" t="n">
        <x:f>H205*F205</x:f>
        <x:v>5433.897641922412</x:v>
      </x:c>
      <x:c r="J205" s="10" t="n">
        <x:v>160.0269384905</x:v>
      </x:c>
      <x:c r="K205" s="10" t="n">
        <x:v>778.570007324</x:v>
      </x:c>
      <x:c r="L205" s="11" t="n">
        <x:f>G205*K205/J205</x:f>
        <x:v>4865.243406316992</x:v>
      </x:c>
      <x:c r="M205" s="2" t="str">
        <x:v>current price</x:v>
      </x:c>
      <x:c r="N205" s="8" t="d">
        <x:v>2026-10-09T00:00:00.000Z</x:v>
      </x:c>
      <x:c r="O205" s="11" t="n">
        <x:f>I205-L205</x:f>
        <x:v>568.6542356054197</x:v>
      </x:c>
    </x:row>
    <x:row r="206" ht="22" customHeight="1">
      <x:c r="A206" s="8" t="d">
        <x:v>2014-08-01T00:00:00.000Z</x:v>
      </x:c>
      <x:c r="B206" s="8" t="d">
        <x:v>2014-07-31T00:00:00.000Z</x:v>
      </x:c>
      <x:c r="C206" s="2" t="str">
        <x:v>TWX-201806</x:v>
      </x:c>
      <x:c r="D206" s="9" t="n">
        <x:v>0.1817793594</x:v>
      </x:c>
      <x:c r="E206" s="10" t="n">
        <x:v>77.2489350646</x:v>
      </x:c>
      <x:c r="F206" s="10" t="n">
        <x:v>0</x:v>
      </x:c>
      <x:c r="G206" s="11" t="n">
        <x:f>'Summary'!$C$18</x:f>
        <x:v>1000</x:v>
      </x:c>
      <x:c r="H206" s="12" t="n">
        <x:f>G206/E206</x:f>
        <x:v>12.945162275230622</x:v>
      </x:c>
      <x:c r="I206" s="11" t="n">
        <x:f>H206*F206</x:f>
        <x:v>0</x:v>
      </x:c>
      <x:c r="J206" s="10" t="n">
        <x:v>157.0580395735</x:v>
      </x:c>
      <x:c r="K206" s="10" t="n">
        <x:v>778.570007324</x:v>
      </x:c>
      <x:c r="L206" s="11" t="n">
        <x:f>G206*K206/J206</x:f>
        <x:v>4957.212056372606</x:v>
      </x:c>
      <x:c r="M206" s="2" t="str">
        <x:v>written off ($0 rule)</x:v>
      </x:c>
      <x:c r="N206" s="8" t="d">
        <x:v>2018-06-14T00:00:00.000Z</x:v>
      </x:c>
      <x:c r="O206" s="11" t="n">
        <x:f>I206-L206</x:f>
        <x:v>-4957.212056372606</x:v>
      </x:c>
    </x:row>
    <x:row r="207" ht="22" customHeight="1">
      <x:c r="A207" s="8" t="d">
        <x:v>2014-09-02T00:00:00.000Z</x:v>
      </x:c>
      <x:c r="B207" s="8" t="d">
        <x:v>2014-08-29T00:00:00.000Z</x:v>
      </x:c>
      <x:c r="C207" s="2" t="str">
        <x:v>MNST</x:v>
      </x:c>
      <x:c r="D207" s="9" t="n">
        <x:v>0.3822701564</x:v>
      </x:c>
      <x:c r="E207" s="10" t="n">
        <x:v>7.4000000954</x:v>
      </x:c>
      <x:c r="F207" s="10" t="n">
        <x:v>43.6399993896</x:v>
      </x:c>
      <x:c r="G207" s="11" t="n">
        <x:f>'Summary'!$C$18</x:f>
        <x:v>1000</x:v>
      </x:c>
      <x:c r="H207" s="12" t="n">
        <x:f>G207/E207</x:f>
        <x:v>135.1351333929876</x:v>
      </x:c>
      <x:c r="I207" s="11" t="n">
        <x:f>H207*F207</x:f>
        <x:v>5897.297138783493</x:v>
      </x:c>
      <x:c r="J207" s="10" t="n">
        <x:v>163.91750522</x:v>
      </x:c>
      <x:c r="K207" s="10" t="n">
        <x:v>778.570007324</x:v>
      </x:c>
      <x:c r="L207" s="11" t="n">
        <x:f>G207*K207/J207</x:f>
        <x:v>4749.767306908748</x:v>
      </x:c>
      <x:c r="M207" s="2" t="str">
        <x:v>current price</x:v>
      </x:c>
      <x:c r="N207" s="8" t="d">
        <x:v>2026-10-09T00:00:00.000Z</x:v>
      </x:c>
      <x:c r="O207" s="11" t="n">
        <x:f>I207-L207</x:f>
        <x:v>1147.5298318747455</x:v>
      </x:c>
    </x:row>
    <x:row r="208" ht="22" customHeight="1">
      <x:c r="A208" s="8" t="d">
        <x:v>2014-10-01T00:00:00.000Z</x:v>
      </x:c>
      <x:c r="B208" s="8" t="d">
        <x:v>2014-09-30T00:00:00.000Z</x:v>
      </x:c>
      <x:c r="C208" s="2" t="str">
        <x:v>SIAL-201511</x:v>
      </x:c>
      <x:c r="D208" s="9" t="n">
        <x:v>0.3077884615</x:v>
      </x:c>
      <x:c r="E208" s="10" t="n">
        <x:v>134.8996109771</x:v>
      </x:c>
      <x:c r="F208" s="10" t="n">
        <x:v>0</x:v>
      </x:c>
      <x:c r="G208" s="11" t="n">
        <x:f>'Summary'!$C$18</x:f>
        <x:v>1000</x:v>
      </x:c>
      <x:c r="H208" s="12" t="n">
        <x:f>G208/E208</x:f>
        <x:v>7.41291982057499</x:v>
      </x:c>
      <x:c r="I208" s="11" t="n">
        <x:f>H208*F208</x:f>
        <x:v>0</x:v>
      </x:c>
      <x:c r="J208" s="10" t="n">
        <x:v>161.1846920126</x:v>
      </x:c>
      <x:c r="K208" s="10" t="n">
        <x:v>778.570007324</x:v>
      </x:c>
      <x:c r="L208" s="11" t="n">
        <x:f>G208*K208/J208</x:f>
        <x:v>4830.297453204416</x:v>
      </x:c>
      <x:c r="M208" s="2" t="str">
        <x:v>written off ($0 rule)</x:v>
      </x:c>
      <x:c r="N208" s="8" t="d">
        <x:v>2015-11-17T00:00:00.000Z</x:v>
      </x:c>
      <x:c r="O208" s="11" t="n">
        <x:f>I208-L208</x:f>
        <x:v>-4830.297453204416</x:v>
      </x:c>
    </x:row>
    <x:row r="209" ht="22" customHeight="1">
      <x:c r="A209" s="8" t="d">
        <x:v>2014-11-03T00:00:00.000Z</x:v>
      </x:c>
      <x:c r="B209" s="8" t="d">
        <x:v>2014-10-31T00:00:00.000Z</x:v>
      </x:c>
      <x:c r="C209" s="2" t="str">
        <x:v>CFN-201503</x:v>
      </x:c>
      <x:c r="D209" s="9" t="n">
        <x:v>0.2678453039</x:v>
      </x:c>
      <x:c r="E209" s="10" t="n">
        <x:v>57.43</x:v>
      </x:c>
      <x:c r="F209" s="10" t="n">
        <x:v>0</x:v>
      </x:c>
      <x:c r="G209" s="11" t="n">
        <x:f>'Summary'!$C$18</x:f>
        <x:v>1000</x:v>
      </x:c>
      <x:c r="H209" s="12" t="n">
        <x:f>G209/E209</x:f>
        <x:v>17.41250217656277</x:v>
      </x:c>
      <x:c r="I209" s="11" t="n">
        <x:f>H209*F209</x:f>
        <x:v>0</x:v>
      </x:c>
      <x:c r="J209" s="10" t="n">
        <x:v>165.4621922785</x:v>
      </x:c>
      <x:c r="K209" s="10" t="n">
        <x:v>778.570007324</x:v>
      </x:c>
      <x:c r="L209" s="11" t="n">
        <x:f>G209*K209/J209</x:f>
        <x:v>4705.425430442376</x:v>
      </x:c>
      <x:c r="M209" s="2" t="str">
        <x:v>written off ($0 rule)</x:v>
      </x:c>
      <x:c r="N209" s="8" t="d">
        <x:v>2015-03-16T00:00:00.000Z</x:v>
      </x:c>
      <x:c r="O209" s="11" t="n">
        <x:f>I209-L209</x:f>
        <x:v>-4705.425430442376</x:v>
      </x:c>
    </x:row>
    <x:row r="210" ht="22" customHeight="1">
      <x:c r="A210" s="8" t="d">
        <x:v>2014-12-01T00:00:00.000Z</x:v>
      </x:c>
      <x:c r="B210" s="8" t="d">
        <x:v>2014-11-28T00:00:00.000Z</x:v>
      </x:c>
      <x:c r="C210" s="2" t="str">
        <x:v>WFM-201708</x:v>
      </x:c>
      <x:c r="D210" s="9" t="n">
        <x:v>0.2466310704</x:v>
      </x:c>
      <x:c r="E210" s="10" t="n">
        <x:v>46.9064274521</x:v>
      </x:c>
      <x:c r="F210" s="10" t="n">
        <x:v>0</x:v>
      </x:c>
      <x:c r="G210" s="11" t="n">
        <x:f>'Summary'!$C$18</x:f>
        <x:v>1000</x:v>
      </x:c>
      <x:c r="H210" s="12" t="n">
        <x:f>G210/E210</x:f>
        <x:v>21.319039933731514</x:v>
      </x:c>
      <x:c r="I210" s="11" t="n">
        <x:f>H210*F210</x:f>
        <x:v>0</x:v>
      </x:c>
      <x:c r="J210" s="10" t="n">
        <x:v>169.1332992566</x:v>
      </x:c>
      <x:c r="K210" s="10" t="n">
        <x:v>778.570007324</x:v>
      </x:c>
      <x:c r="L210" s="11" t="n">
        <x:f>G210*K210/J210</x:f>
        <x:v>4603.292259691542</x:v>
      </x:c>
      <x:c r="M210" s="2" t="str">
        <x:v>written off ($0 rule)</x:v>
      </x:c>
      <x:c r="N210" s="8" t="d">
        <x:v>2017-08-25T00:00:00.000Z</x:v>
      </x:c>
      <x:c r="O210" s="11" t="n">
        <x:f>I210-L210</x:f>
        <x:v>-4603.292259691542</x:v>
      </x:c>
    </x:row>
    <x:row r="211" ht="22" customHeight="1">
      <x:c r="A211" s="8" t="d">
        <x:v>2015-01-02T00:00:00.000Z</x:v>
      </x:c>
      <x:c r="B211" s="8" t="d">
        <x:v>2014-12-31T00:00:00.000Z</x:v>
      </x:c>
      <x:c r="C211" s="2" t="str">
        <x:v>SPLS-201709</x:v>
      </x:c>
      <x:c r="D211" s="9" t="n">
        <x:v>0.2976606914</x:v>
      </x:c>
      <x:c r="E211" s="10" t="n">
        <x:v>16.0935651381</x:v>
      </x:c>
      <x:c r="F211" s="10" t="n">
        <x:v>0</x:v>
      </x:c>
      <x:c r="G211" s="11" t="n">
        <x:f>'Summary'!$C$18</x:f>
        <x:v>1000</x:v>
      </x:c>
      <x:c r="H211" s="12" t="n">
        <x:f>G211/E211</x:f>
        <x:v>62.136636066585034</x:v>
      </x:c>
      <x:c r="I211" s="11" t="n">
        <x:f>H211*F211</x:f>
        <x:v>0</x:v>
      </x:c>
      <x:c r="J211" s="10" t="n">
        <x:v>170.0503128653</x:v>
      </x:c>
      <x:c r="K211" s="10" t="n">
        <x:v>778.570007324</x:v>
      </x:c>
      <x:c r="L211" s="11" t="n">
        <x:f>G211*K211/J211</x:f>
        <x:v>4578.46853795982</x:v>
      </x:c>
      <x:c r="M211" s="2" t="str">
        <x:v>written off ($0 rule)</x:v>
      </x:c>
      <x:c r="N211" s="8" t="d">
        <x:v>2017-09-12T00:00:00.000Z</x:v>
      </x:c>
      <x:c r="O211" s="11" t="n">
        <x:f>I211-L211</x:f>
        <x:v>-4578.46853795982</x:v>
      </x:c>
    </x:row>
    <x:row r="212" ht="22" customHeight="1">
      <x:c r="A212" s="8" t="d">
        <x:v>2015-02-02T00:00:00.000Z</x:v>
      </x:c>
      <x:c r="B212" s="8" t="d">
        <x:v>2015-01-30T00:00:00.000Z</x:v>
      </x:c>
      <x:c r="C212" s="2" t="str">
        <x:v>NEM</x:v>
      </x:c>
      <x:c r="D212" s="9" t="n">
        <x:v>0.3306878374</x:v>
      </x:c>
      <x:c r="E212" s="10" t="n">
        <x:v>19.1939309692</x:v>
      </x:c>
      <x:c r="F212" s="10" t="n">
        <x:v>117.839996338</x:v>
      </x:c>
      <x:c r="G212" s="11" t="n">
        <x:f>'Summary'!$C$18</x:f>
        <x:v>1000</x:v>
      </x:c>
      <x:c r="H212" s="12" t="n">
        <x:f>G212/E212</x:f>
        <x:v>52.09980183864754</x:v>
      </x:c>
      <x:c r="I212" s="11" t="n">
        <x:f>H212*F212</x:f>
        <x:v>6139.440457876752</x:v>
      </x:c>
      <x:c r="J212" s="10" t="n">
        <x:v>164.834600266</x:v>
      </x:c>
      <x:c r="K212" s="10" t="n">
        <x:v>778.570007324</x:v>
      </x:c>
      <x:c r="L212" s="11" t="n">
        <x:f>G212*K212/J212</x:f>
        <x:v>4723.3408887915</x:v>
      </x:c>
      <x:c r="M212" s="2" t="str">
        <x:v>current price</x:v>
      </x:c>
      <x:c r="N212" s="8" t="d">
        <x:v>2026-10-09T00:00:00.000Z</x:v>
      </x:c>
      <x:c r="O212" s="11" t="n">
        <x:f>I212-L212</x:f>
        <x:v>1416.0995690852515</x:v>
      </x:c>
    </x:row>
    <x:row r="213" ht="22" customHeight="1">
      <x:c r="A213" s="8" t="d">
        <x:v>2015-03-02T00:00:00.000Z</x:v>
      </x:c>
      <x:c r="B213" s="8" t="d">
        <x:v>2015-02-27T00:00:00.000Z</x:v>
      </x:c>
      <x:c r="C213" s="2" t="str">
        <x:v>FSLR</x:v>
      </x:c>
      <x:c r="D213" s="9" t="n">
        <x:v>0.411862014</x:v>
      </x:c>
      <x:c r="E213" s="10" t="n">
        <x:v>59.4099998474</x:v>
      </x:c>
      <x:c r="F213" s="10" t="n">
        <x:v>177.820007324</x:v>
      </x:c>
      <x:c r="G213" s="11" t="n">
        <x:f>'Summary'!$C$18</x:f>
        <x:v>1000</x:v>
      </x:c>
      <x:c r="H213" s="12" t="n">
        <x:f>G213/E213</x:f>
        <x:v>16.832183177387495</x:v>
      </x:c>
      <x:c r="I213" s="11" t="n">
        <x:f>H213*F213</x:f>
        <x:v>2993.098935881954</x:v>
      </x:c>
      <x:c r="J213" s="10" t="n">
        <x:v>173.6757626225</x:v>
      </x:c>
      <x:c r="K213" s="10" t="n">
        <x:v>778.570007324</x:v>
      </x:c>
      <x:c r="L213" s="11" t="n">
        <x:f>G213*K213/J213</x:f>
        <x:v>4482.893845218302</x:v>
      </x:c>
      <x:c r="M213" s="2" t="str">
        <x:v>current price</x:v>
      </x:c>
      <x:c r="N213" s="8" t="d">
        <x:v>2026-10-09T00:00:00.000Z</x:v>
      </x:c>
      <x:c r="O213" s="11" t="n">
        <x:f>I213-L213</x:f>
        <x:v>-1489.7949093363482</x:v>
      </x:c>
    </x:row>
    <x:row r="214" ht="22" customHeight="1">
      <x:c r="A214" s="8" t="d">
        <x:v>2015-04-01T00:00:00.000Z</x:v>
      </x:c>
      <x:c r="B214" s="8" t="d">
        <x:v>2015-03-31T00:00:00.000Z</x:v>
      </x:c>
      <x:c r="C214" s="2" t="str">
        <x:v>KRFT-201507</x:v>
      </x:c>
      <x:c r="D214" s="9" t="n">
        <x:v>0.3598969716</x:v>
      </x:c>
      <x:c r="E214" s="10" t="n">
        <x:v>85.9674837699</x:v>
      </x:c>
      <x:c r="F214" s="10" t="n">
        <x:v>0</x:v>
      </x:c>
      <x:c r="G214" s="11" t="n">
        <x:f>'Summary'!$C$18</x:f>
        <x:v>1000</x:v>
      </x:c>
      <x:c r="H214" s="12" t="n">
        <x:f>G214/E214</x:f>
        <x:v>11.63230510127054</x:v>
      </x:c>
      <x:c r="I214" s="11" t="n">
        <x:f>H214*F214</x:f>
        <x:v>0</x:v>
      </x:c>
      <x:c r="J214" s="10" t="n">
        <x:v>170.8176469564</x:v>
      </x:c>
      <x:c r="K214" s="10" t="n">
        <x:v>778.570007324</x:v>
      </x:c>
      <x:c r="L214" s="11" t="n">
        <x:f>G214*K214/J214</x:f>
        <x:v>4557.901488496235</x:v>
      </x:c>
      <x:c r="M214" s="2" t="str">
        <x:v>written off ($0 rule)</x:v>
      </x:c>
      <x:c r="N214" s="8" t="d">
        <x:v>2015-07-02T00:00:00.000Z</x:v>
      </x:c>
      <x:c r="O214" s="11" t="n">
        <x:f>I214-L214</x:f>
        <x:v>-4557.901488496235</x:v>
      </x:c>
    </x:row>
    <x:row r="215" ht="22" customHeight="1">
      <x:c r="A215" s="8" t="d">
        <x:v>2015-05-01T00:00:00.000Z</x:v>
      </x:c>
      <x:c r="B215" s="8" t="d">
        <x:v>2015-04-30T00:00:00.000Z</x:v>
      </x:c>
      <x:c r="C215" s="2" t="str">
        <x:v>NFLX</x:v>
      </x:c>
      <x:c r="D215" s="9" t="n">
        <x:v>0.3355252502</x:v>
      </x:c>
      <x:c r="E215" s="10" t="n">
        <x:v>7.9855709076</x:v>
      </x:c>
      <x:c r="F215" s="10" t="n">
        <x:v>70.3000030518</x:v>
      </x:c>
      <x:c r="G215" s="11" t="n">
        <x:f>'Summary'!$C$18</x:f>
        <x:v>1000</x:v>
      </x:c>
      <x:c r="H215" s="12" t="n">
        <x:f>G215/E215</x:f>
        <x:v>125.22586194160313</x:v>
      </x:c>
      <x:c r="I215" s="11" t="n">
        <x:f>H215*F215</x:f>
        <x:v>8803.378476658985</x:v>
      </x:c>
      <x:c r="J215" s="10" t="n">
        <x:v>173.3088537987</x:v>
      </x:c>
      <x:c r="K215" s="10" t="n">
        <x:v>778.570007324</x:v>
      </x:c>
      <x:c r="L215" s="11" t="n">
        <x:f>G215*K215/J215</x:f>
        <x:v>4492.3844931103</x:v>
      </x:c>
      <x:c r="M215" s="2" t="str">
        <x:v>current price</x:v>
      </x:c>
      <x:c r="N215" s="8" t="d">
        <x:v>2026-10-09T00:00:00.000Z</x:v>
      </x:c>
      <x:c r="O215" s="11" t="n">
        <x:f>I215-L215</x:f>
        <x:v>4310.993983548685</x:v>
      </x:c>
    </x:row>
    <x:row r="216" ht="22" customHeight="1">
      <x:c r="A216" s="8" t="d">
        <x:v>2015-06-01T00:00:00.000Z</x:v>
      </x:c>
      <x:c r="B216" s="8" t="d">
        <x:v>2015-05-29T00:00:00.000Z</x:v>
      </x:c>
      <x:c r="C216" s="2" t="str">
        <x:v>HUM</x:v>
      </x:c>
      <x:c r="D216" s="9" t="n">
        <x:v>0.2961955675</x:v>
      </x:c>
      <x:c r="E216" s="10" t="n">
        <x:v>194.3022346335</x:v>
      </x:c>
      <x:c r="F216" s="10" t="n">
        <x:v>431.869995117</x:v>
      </x:c>
      <x:c r="G216" s="11" t="n">
        <x:f>'Summary'!$C$18</x:f>
        <x:v>1000</x:v>
      </x:c>
      <x:c r="H216" s="12" t="n">
        <x:f>G216/E216</x:f>
        <x:v>5.1466212001433576</x:v>
      </x:c>
      <x:c r="I216" s="11" t="n">
        <x:f>H216*F216</x:f>
        <x:v>2222.6712725749603</x:v>
      </x:c>
      <x:c r="J216" s="10" t="n">
        <x:v>175.4110791213</x:v>
      </x:c>
      <x:c r="K216" s="10" t="n">
        <x:v>778.570007324</x:v>
      </x:c>
      <x:c r="L216" s="11" t="n">
        <x:f>G216*K216/J216</x:f>
        <x:v>4438.545223164636</x:v>
      </x:c>
      <x:c r="M216" s="2" t="str">
        <x:v>current price</x:v>
      </x:c>
      <x:c r="N216" s="8" t="d">
        <x:v>2026-10-09T00:00:00.000Z</x:v>
      </x:c>
      <x:c r="O216" s="11" t="n">
        <x:f>I216-L216</x:f>
        <x:v>-2215.8739505896756</x:v>
      </x:c>
    </x:row>
    <x:row r="217" ht="22" customHeight="1">
      <x:c r="A217" s="8" t="d">
        <x:v>2015-07-01T00:00:00.000Z</x:v>
      </x:c>
      <x:c r="B217" s="8" t="d">
        <x:v>2015-06-30T00:00:00.000Z</x:v>
      </x:c>
      <x:c r="C217" s="2" t="str">
        <x:v>CI</x:v>
      </x:c>
      <x:c r="D217" s="9" t="n">
        <x:v>0.1503230696</x:v>
      </x:c>
      <x:c r="E217" s="10" t="n">
        <x:v>147.1638177775</x:v>
      </x:c>
      <x:c r="F217" s="10" t="n">
        <x:v>282.429992676</x:v>
      </x:c>
      <x:c r="G217" s="11" t="n">
        <x:f>'Summary'!$C$18</x:f>
        <x:v>1000</x:v>
      </x:c>
      <x:c r="H217" s="12" t="n">
        <x:f>G217/E217</x:f>
        <x:v>6.795148529728419</x:v>
      </x:c>
      <x:c r="I217" s="11" t="n">
        <x:f>H217*F217</x:f>
        <x:v>1919.1537494835293</x:v>
      </x:c>
      <x:c r="J217" s="10" t="n">
        <x:v>172.7629785877</x:v>
      </x:c>
      <x:c r="K217" s="10" t="n">
        <x:v>778.570007324</x:v>
      </x:c>
      <x:c r="L217" s="11" t="n">
        <x:f>G217*K217/J217</x:f>
        <x:v>4506.57897709707</x:v>
      </x:c>
      <x:c r="M217" s="2" t="str">
        <x:v>current price</x:v>
      </x:c>
      <x:c r="N217" s="8" t="d">
        <x:v>2026-10-09T00:00:00.000Z</x:v>
      </x:c>
      <x:c r="O217" s="11" t="n">
        <x:f>I217-L217</x:f>
        <x:v>-2587.4252276135403</x:v>
      </x:c>
    </x:row>
    <x:row r="218" ht="22" customHeight="1">
      <x:c r="A218" s="8" t="d">
        <x:v>2015-08-03T00:00:00.000Z</x:v>
      </x:c>
      <x:c r="B218" s="8" t="d">
        <x:v>2015-07-31T00:00:00.000Z</x:v>
      </x:c>
      <x:c r="C218" s="2" t="str">
        <x:v>CB-201601</x:v>
      </x:c>
      <x:c r="D218" s="9" t="n">
        <x:v>0.3068110153</x:v>
      </x:c>
      <x:c r="E218" s="10" t="n">
        <x:v>122.7441803435</x:v>
      </x:c>
      <x:c r="F218" s="10" t="n">
        <x:v>0</x:v>
      </x:c>
      <x:c r="G218" s="11" t="n">
        <x:f>'Summary'!$C$18</x:f>
        <x:v>1000</x:v>
      </x:c>
      <x:c r="H218" s="12" t="n">
        <x:f>G218/E218</x:f>
        <x:v>8.147025766936538</x:v>
      </x:c>
      <x:c r="I218" s="11" t="n">
        <x:f>H218*F218</x:f>
        <x:v>0</x:v>
      </x:c>
      <x:c r="J218" s="10" t="n">
        <x:v>175.0334490988</x:v>
      </x:c>
      <x:c r="K218" s="10" t="n">
        <x:v>778.570007324</x:v>
      </x:c>
      <x:c r="L218" s="11" t="n">
        <x:f>G218*K218/J218</x:f>
        <x:v>4448.121266721572</x:v>
      </x:c>
      <x:c r="M218" s="2" t="str">
        <x:v>written off ($0 rule)</x:v>
      </x:c>
      <x:c r="N218" s="8" t="d">
        <x:v>2016-01-14T00:00:00.000Z</x:v>
      </x:c>
      <x:c r="O218" s="11" t="n">
        <x:f>I218-L218</x:f>
        <x:v>-4448.121266721572</x:v>
      </x:c>
    </x:row>
    <x:row r="219" ht="22" customHeight="1">
      <x:c r="A219" s="8" t="d">
        <x:v>2015-09-01T00:00:00.000Z</x:v>
      </x:c>
      <x:c r="B219" s="8" t="d">
        <x:v>2015-08-31T00:00:00.000Z</x:v>
      </x:c>
      <x:c r="C219" s="2" t="str">
        <x:v>CAM-201604</x:v>
      </x:c>
      <x:c r="D219" s="9" t="n">
        <x:v>0.3230281411</x:v>
      </x:c>
      <x:c r="E219" s="10" t="n">
        <x:v>64.95</x:v>
      </x:c>
      <x:c r="F219" s="10" t="n">
        <x:v>0</x:v>
      </x:c>
      <x:c r="G219" s="11" t="n">
        <x:f>'Summary'!$C$18</x:f>
        <x:v>1000</x:v>
      </x:c>
      <x:c r="H219" s="12" t="n">
        <x:f>G219/E219</x:f>
        <x:v>15.39645881447267</x:v>
      </x:c>
      <x:c r="I219" s="11" t="n">
        <x:f>H219*F219</x:f>
        <x:v>0</x:v>
      </x:c>
      <x:c r="J219" s="10" t="n">
        <x:v>160.6122672096</x:v>
      </x:c>
      <x:c r="K219" s="10" t="n">
        <x:v>778.570007324</x:v>
      </x:c>
      <x:c r="L219" s="11" t="n">
        <x:f>G219*K219/J219</x:f>
        <x:v>4847.512714006841</x:v>
      </x:c>
      <x:c r="M219" s="2" t="str">
        <x:v>written off ($0 rule)</x:v>
      </x:c>
      <x:c r="N219" s="8" t="d">
        <x:v>2016-04-01T00:00:00.000Z</x:v>
      </x:c>
      <x:c r="O219" s="11" t="n">
        <x:f>I219-L219</x:f>
        <x:v>-4847.512714006841</x:v>
      </x:c>
    </x:row>
    <x:row r="220" ht="22" customHeight="1">
      <x:c r="A220" s="8" t="d">
        <x:v>2015-10-01T00:00:00.000Z</x:v>
      </x:c>
      <x:c r="B220" s="8" t="d">
        <x:v>2015-09-30T00:00:00.000Z</x:v>
      </x:c>
      <x:c r="C220" s="2" t="str">
        <x:v>CVC-201606</x:v>
      </x:c>
      <x:c r="D220" s="9" t="n">
        <x:v>0.2900278109</x:v>
      </x:c>
      <x:c r="E220" s="10" t="n">
        <x:v>32.95</x:v>
      </x:c>
      <x:c r="F220" s="10" t="n">
        <x:v>0</x:v>
      </x:c>
      <x:c r="G220" s="11" t="n">
        <x:f>'Summary'!$C$18</x:f>
        <x:v>1000</x:v>
      </x:c>
      <x:c r="H220" s="12" t="n">
        <x:f>G220/E220</x:f>
        <x:v>30.349013657056144</x:v>
      </x:c>
      <x:c r="I220" s="11" t="n">
        <x:f>H220*F220</x:f>
        <x:v>0</x:v>
      </x:c>
      <x:c r="J220" s="10" t="n">
        <x:v>160.5778408754</x:v>
      </x:c>
      <x:c r="K220" s="10" t="n">
        <x:v>778.570007324</x:v>
      </x:c>
      <x:c r="L220" s="11" t="n">
        <x:f>G220*K220/J220</x:f>
        <x:v>4848.551973794003</x:v>
      </x:c>
      <x:c r="M220" s="2" t="str">
        <x:v>written off ($0 rule)</x:v>
      </x:c>
      <x:c r="N220" s="8" t="d">
        <x:v>2016-06-20T00:00:00.000Z</x:v>
      </x:c>
      <x:c r="O220" s="11" t="n">
        <x:f>I220-L220</x:f>
        <x:v>-4848.551973794003</x:v>
      </x:c>
    </x:row>
    <x:row r="221" ht="22" customHeight="1">
      <x:c r="A221" s="8" t="d">
        <x:v>2015-11-02T00:00:00.000Z</x:v>
      </x:c>
      <x:c r="B221" s="8" t="d">
        <x:v>2015-10-30T00:00:00.000Z</x:v>
      </x:c>
      <x:c r="C221" s="2" t="str">
        <x:v>SNDK-201605</x:v>
      </x:c>
      <x:c r="D221" s="9" t="n">
        <x:v>0.4180478821</x:v>
      </x:c>
      <x:c r="E221" s="10" t="n">
        <x:v>76.82</x:v>
      </x:c>
      <x:c r="F221" s="10" t="n">
        <x:v>0</x:v>
      </x:c>
      <x:c r="G221" s="11" t="n">
        <x:f>'Summary'!$C$18</x:f>
        <x:v>1000</x:v>
      </x:c>
      <x:c r="H221" s="12" t="n">
        <x:f>G221/E221</x:f>
        <x:v>13.017443374121324</x:v>
      </x:c>
      <x:c r="I221" s="11" t="n">
        <x:f>H221*F221</x:f>
        <x:v>0</x:v>
      </x:c>
      <x:c r="J221" s="10" t="n">
        <x:v>174.1543974817</x:v>
      </x:c>
      <x:c r="K221" s="10" t="n">
        <x:v>778.570007324</x:v>
      </x:c>
      <x:c r="L221" s="11" t="n">
        <x:f>G221*K221/J221</x:f>
        <x:v>4470.573345159496</x:v>
      </x:c>
      <x:c r="M221" s="2" t="str">
        <x:v>written off ($0 rule)</x:v>
      </x:c>
      <x:c r="N221" s="8" t="d">
        <x:v>2016-05-11T00:00:00.000Z</x:v>
      </x:c>
      <x:c r="O221" s="11" t="n">
        <x:f>I221-L221</x:f>
        <x:v>-4470.573345159496</x:v>
      </x:c>
    </x:row>
    <x:row r="222" ht="22" customHeight="1">
      <x:c r="A222" s="8" t="d">
        <x:v>2015-12-01T00:00:00.000Z</x:v>
      </x:c>
      <x:c r="B222" s="8" t="d">
        <x:v>2015-11-30T00:00:00.000Z</x:v>
      </x:c>
      <x:c r="C222" s="2" t="str">
        <x:v>ARG-201605</x:v>
      </x:c>
      <x:c r="D222" s="9" t="n">
        <x:v>0.43718802</x:v>
      </x:c>
      <x:c r="E222" s="10" t="n">
        <x:v>136.9848374378</x:v>
      </x:c>
      <x:c r="F222" s="10" t="n">
        <x:v>0</x:v>
      </x:c>
      <x:c r="G222" s="11" t="n">
        <x:f>'Summary'!$C$18</x:f>
        <x:v>1000</x:v>
      </x:c>
      <x:c r="H222" s="12" t="n">
        <x:f>G222/E222</x:f>
        <x:v>7.300078013773349</x:v>
      </x:c>
      <x:c r="I222" s="11" t="n">
        <x:f>H222*F222</x:f>
        <x:v>0</x:v>
      </x:c>
      <x:c r="J222" s="10" t="n">
        <x:v>175.0907073316</x:v>
      </x:c>
      <x:c r="K222" s="10" t="n">
        <x:v>778.570007324</x:v>
      </x:c>
      <x:c r="L222" s="11" t="n">
        <x:f>G222*K222/J222</x:f>
        <x:v>4446.666640334518</x:v>
      </x:c>
      <x:c r="M222" s="2" t="str">
        <x:v>written off ($0 rule)</x:v>
      </x:c>
      <x:c r="N222" s="8" t="d">
        <x:v>2016-05-20T00:00:00.000Z</x:v>
      </x:c>
      <x:c r="O222" s="11" t="n">
        <x:f>I222-L222</x:f>
        <x:v>-4446.666640334518</x:v>
      </x:c>
    </x:row>
    <x:row r="223" ht="22" customHeight="1">
      <x:c r="A223" s="8" t="d">
        <x:v>2016-01-04T00:00:00.000Z</x:v>
      </x:c>
      <x:c r="B223" s="8" t="d">
        <x:v>2015-12-31T00:00:00.000Z</x:v>
      </x:c>
      <x:c r="C223" s="2" t="str">
        <x:v>GMCR-201603</x:v>
      </x:c>
      <x:c r="D223" s="9" t="n">
        <x:v>0.7171755725</x:v>
      </x:c>
      <x:c r="E223" s="10" t="n">
        <x:v>89.2779473568</x:v>
      </x:c>
      <x:c r="F223" s="10" t="n">
        <x:v>0</x:v>
      </x:c>
      <x:c r="G223" s="11" t="n">
        <x:f>'Summary'!$C$18</x:f>
        <x:v>1000</x:v>
      </x:c>
      <x:c r="H223" s="12" t="n">
        <x:f>G223/E223</x:f>
        <x:v>11.200974368322923</x:v>
      </x:c>
      <x:c r="I223" s="11" t="n">
        <x:f>H223*F223</x:f>
        <x:v>0</x:v>
      </x:c>
      <x:c r="J223" s="10" t="n">
        <x:v>168.6060715928</x:v>
      </x:c>
      <x:c r="K223" s="10" t="n">
        <x:v>778.570007324</x:v>
      </x:c>
      <x:c r="L223" s="11" t="n">
        <x:f>G223*K223/J223</x:f>
        <x:v>4617.68665842783</x:v>
      </x:c>
      <x:c r="M223" s="2" t="str">
        <x:v>written off ($0 rule)</x:v>
      </x:c>
      <x:c r="N223" s="8" t="d">
        <x:v>2016-03-02T00:00:00.000Z</x:v>
      </x:c>
      <x:c r="O223" s="11" t="n">
        <x:f>I223-L223</x:f>
        <x:v>-4617.68665842783</x:v>
      </x:c>
    </x:row>
    <x:row r="224" ht="22" customHeight="1">
      <x:c r="A224" s="8" t="d">
        <x:v>2016-02-01T00:00:00.000Z</x:v>
      </x:c>
      <x:c r="B224" s="8" t="d">
        <x:v>2016-01-29T00:00:00.000Z</x:v>
      </x:c>
      <x:c r="C224" s="2" t="str">
        <x:v>SWN</x:v>
      </x:c>
      <x:c r="D224" s="9" t="n">
        <x:v>0.2503516174</x:v>
      </x:c>
      <x:c r="E224" s="10" t="n">
        <x:v>8.49</x:v>
      </x:c>
      <x:c r="F224" s="10" t="n">
        <x:v>0</x:v>
      </x:c>
      <x:c r="G224" s="11" t="n">
        <x:f>'Summary'!$C$18</x:f>
        <x:v>1000</x:v>
      </x:c>
      <x:c r="H224" s="12" t="n">
        <x:f>G224/E224</x:f>
        <x:v>117.78563015312132</x:v>
      </x:c>
      <x:c r="I224" s="11" t="n">
        <x:f>H224*F224</x:f>
        <x:v>0</x:v>
      </x:c>
      <x:c r="J224" s="10" t="n">
        <x:v>161.911945077</x:v>
      </x:c>
      <x:c r="K224" s="10" t="n">
        <x:v>778.570007324</x:v>
      </x:c>
      <x:c r="L224" s="11" t="n">
        <x:f>G224*K224/J224</x:f>
        <x:v>4808.601409573195</x:v>
      </x:c>
      <x:c r="M224" s="2" t="str">
        <x:v>written off ($0 rule)</x:v>
      </x:c>
      <x:c r="N224" s="8" t="d">
        <x:v>2024-09-30T00:00:00.000Z</x:v>
      </x:c>
      <x:c r="O224" s="11" t="n">
        <x:f>I224-L224</x:f>
        <x:v>-4808.601409573195</x:v>
      </x:c>
    </x:row>
    <x:row r="225" ht="22" customHeight="1">
      <x:c r="A225" s="8" t="d">
        <x:v>2016-03-01T00:00:00.000Z</x:v>
      </x:c>
      <x:c r="B225" s="8" t="d">
        <x:v>2016-02-29T00:00:00.000Z</x:v>
      </x:c>
      <x:c r="C225" s="2" t="str">
        <x:v>FCX</x:v>
      </x:c>
      <x:c r="D225" s="9" t="n">
        <x:v>0.6586957114</x:v>
      </x:c>
      <x:c r="E225" s="10" t="n">
        <x:v>7.060983359</x:v>
      </x:c>
      <x:c r="F225" s="10" t="n">
        <x:v>73.6900024414</x:v>
      </x:c>
      <x:c r="G225" s="11" t="n">
        <x:f>'Summary'!$C$18</x:f>
        <x:v>1000</x:v>
      </x:c>
      <x:c r="H225" s="12" t="n">
        <x:f>G225/E225</x:f>
        <x:v>141.6233333456862</x:v>
      </x:c>
      <x:c r="I225" s="11" t="n">
        <x:f>H225*F225</x:f>
        <x:v>10436.223780002822</x:v>
      </x:c>
      <x:c r="J225" s="10" t="n">
        <x:v>163.9975469813</x:v>
      </x:c>
      <x:c r="K225" s="10" t="n">
        <x:v>778.570007324</x:v>
      </x:c>
      <x:c r="L225" s="11" t="n">
        <x:f>G225*K225/J225</x:f>
        <x:v>4747.449103081874</x:v>
      </x:c>
      <x:c r="M225" s="2" t="str">
        <x:v>current price</x:v>
      </x:c>
      <x:c r="N225" s="8" t="d">
        <x:v>2026-10-09T00:00:00.000Z</x:v>
      </x:c>
      <x:c r="O225" s="11" t="n">
        <x:f>I225-L225</x:f>
        <x:v>5688.774676920948</x:v>
      </x:c>
    </x:row>
    <x:row r="226" ht="22" customHeight="1">
      <x:c r="A226" s="8" t="d">
        <x:v>2016-04-01T00:00:00.000Z</x:v>
      </x:c>
      <x:c r="B226" s="8" t="d">
        <x:v>2016-03-31T00:00:00.000Z</x:v>
      </x:c>
      <x:c r="C226" s="2" t="str">
        <x:v>CHK</x:v>
      </x:c>
      <x:c r="D226" s="9" t="n">
        <x:v>0.5785440613</x:v>
      </x:c>
      <x:c r="E226" s="10" t="n">
        <x:v>796</x:v>
      </x:c>
      <x:c r="F226" s="10" t="n">
        <x:v>0</x:v>
      </x:c>
      <x:c r="G226" s="11" t="n">
        <x:f>'Summary'!$C$18</x:f>
        <x:v>1000</x:v>
      </x:c>
      <x:c r="H226" s="12" t="n">
        <x:f>G226/E226</x:f>
        <x:v>1.256281407035176</x:v>
      </x:c>
      <x:c r="I226" s="11" t="n">
        <x:f>H226*F226</x:f>
        <x:v>0</x:v>
      </x:c>
      <x:c r="J226" s="10" t="n">
        <x:v>172.7385744452</x:v>
      </x:c>
      <x:c r="K226" s="10" t="n">
        <x:v>778.570007324</x:v>
      </x:c>
      <x:c r="L226" s="11" t="n">
        <x:f>G226*K226/J226</x:f>
        <x:v>4507.215657096878</x:v>
      </x:c>
      <x:c r="M226" s="2" t="str">
        <x:v>written off ($0 rule)</x:v>
      </x:c>
      <x:c r="N226" s="8" t="d">
        <x:v>2024-10-04T00:00:00.000Z</x:v>
      </x:c>
      <x:c r="O226" s="11" t="n">
        <x:f>I226-L226</x:f>
        <x:v>-4507.215657096878</x:v>
      </x:c>
    </x:row>
    <x:row r="227" ht="22" customHeight="1">
      <x:c r="A227" s="8" t="d">
        <x:v>2016-05-02T00:00:00.000Z</x:v>
      </x:c>
      <x:c r="B227" s="8" t="d">
        <x:v>2016-04-29T00:00:00.000Z</x:v>
      </x:c>
      <x:c r="C227" s="2" t="str">
        <x:v>CHK</x:v>
      </x:c>
      <x:c r="D227" s="9" t="n">
        <x:v>0.6674757282</x:v>
      </x:c>
      <x:c r="E227" s="10" t="n">
        <x:v>1366</x:v>
      </x:c>
      <x:c r="F227" s="10" t="n">
        <x:v>0</x:v>
      </x:c>
      <x:c r="G227" s="11" t="n">
        <x:f>'Summary'!$C$18</x:f>
        <x:v>1000</x:v>
      </x:c>
      <x:c r="H227" s="12" t="n">
        <x:f>G227/E227</x:f>
        <x:v>0.7320644216691069</x:v>
      </x:c>
      <x:c r="I227" s="11" t="n">
        <x:f>H227*F227</x:f>
        <x:v>0</x:v>
      </x:c>
      <x:c r="J227" s="10" t="n">
        <x:v>174.9110077824</x:v>
      </x:c>
      <x:c r="K227" s="10" t="n">
        <x:v>778.570007324</x:v>
      </x:c>
      <x:c r="L227" s="11" t="n">
        <x:f>G227*K227/J227</x:f>
        <x:v>4451.235043437568</x:v>
      </x:c>
      <x:c r="M227" s="2" t="str">
        <x:v>written off ($0 rule)</x:v>
      </x:c>
      <x:c r="N227" s="8" t="d">
        <x:v>2024-10-04T00:00:00.000Z</x:v>
      </x:c>
      <x:c r="O227" s="11" t="n">
        <x:f>I227-L227</x:f>
        <x:v>-4451.235043437568</x:v>
      </x:c>
    </x:row>
    <x:row r="228" ht="22" customHeight="1">
      <x:c r="A228" s="8" t="d">
        <x:v>2016-06-01T00:00:00.000Z</x:v>
      </x:c>
      <x:c r="B228" s="8" t="d">
        <x:v>2016-05-31T00:00:00.000Z</x:v>
      </x:c>
      <x:c r="C228" s="2" t="str">
        <x:v>NVDA</x:v>
      </x:c>
      <x:c r="D228" s="9" t="n">
        <x:v>0.3183597779</x:v>
      </x:c>
      <x:c r="E228" s="10" t="n">
        <x:v>1.1386789962</x:v>
      </x:c>
      <x:c r="F228" s="10" t="n">
        <x:v>229.279998779</x:v>
      </x:c>
      <x:c r="G228" s="11" t="n">
        <x:f>'Summary'!$C$18</x:f>
        <x:v>1000</x:v>
      </x:c>
      <x:c r="H228" s="12" t="n">
        <x:f>G228/E228</x:f>
        <x:v>878.2106312114305</x:v>
      </x:c>
      <x:c r="I228" s="11" t="n">
        <x:f>H228*F228</x:f>
        <x:v>201356.1324518616</x:v>
      </x:c>
      <x:c r="J228" s="10" t="n">
        <x:v>176.7706815054</x:v>
      </x:c>
      <x:c r="K228" s="10" t="n">
        <x:v>778.570007324</x:v>
      </x:c>
      <x:c r="L228" s="11" t="n">
        <x:f>G228*K228/J228</x:f>
        <x:v>4404.406888594906</x:v>
      </x:c>
      <x:c r="M228" s="2" t="str">
        <x:v>current price</x:v>
      </x:c>
      <x:c r="N228" s="8" t="d">
        <x:v>2026-10-09T00:00:00.000Z</x:v>
      </x:c>
      <x:c r="O228" s="11" t="n">
        <x:f>I228-L228</x:f>
        <x:v>196951.7255632667</x:v>
      </x:c>
    </x:row>
    <x:row r="229" ht="22" customHeight="1">
      <x:c r="A229" s="8" t="d">
        <x:v>2016-07-01T00:00:00.000Z</x:v>
      </x:c>
      <x:c r="B229" s="8" t="d">
        <x:v>2016-06-30T00:00:00.000Z</x:v>
      </x:c>
      <x:c r="C229" s="2" t="str">
        <x:v>HSY</x:v>
      </x:c>
      <x:c r="D229" s="9" t="n">
        <x:v>0.2222940197</x:v>
      </x:c>
      <x:c r="E229" s="10" t="n">
        <x:v>87.5219896127</x:v>
      </x:c>
      <x:c r="F229" s="10" t="n">
        <x:v>162.740005493</x:v>
      </x:c>
      <x:c r="G229" s="11" t="n">
        <x:f>'Summary'!$C$18</x:f>
        <x:v>1000</x:v>
      </x:c>
      <x:c r="H229" s="12" t="n">
        <x:f>G229/E229</x:f>
        <x:v>11.425700037501132</x:v>
      </x:c>
      <x:c r="I229" s="11" t="n">
        <x:f>H229*F229</x:f>
        <x:v>1859.4184868643047</x:v>
      </x:c>
      <x:c r="J229" s="10" t="n">
        <x:v>177.9958523776</x:v>
      </x:c>
      <x:c r="K229" s="10" t="n">
        <x:v>778.570007324</x:v>
      </x:c>
      <x:c r="L229" s="11" t="n">
        <x:f>G229*K229/J229</x:f>
        <x:v>4374.090726970106</x:v>
      </x:c>
      <x:c r="M229" s="2" t="str">
        <x:v>current price</x:v>
      </x:c>
      <x:c r="N229" s="8" t="d">
        <x:v>2026-10-09T00:00:00.000Z</x:v>
      </x:c>
      <x:c r="O229" s="11" t="n">
        <x:f>I229-L229</x:f>
        <x:v>-2514.672240105801</x:v>
      </x:c>
    </x:row>
    <x:row r="230" ht="22" customHeight="1">
      <x:c r="A230" s="8" t="d">
        <x:v>2016-08-01T00:00:00.000Z</x:v>
      </x:c>
      <x:c r="B230" s="8" t="d">
        <x:v>2016-07-29T00:00:00.000Z</x:v>
      </x:c>
      <x:c r="C230" s="2" t="str">
        <x:v>EBAY</x:v>
      </x:c>
      <x:c r="D230" s="9" t="n">
        <x:v>0.3310551068</x:v>
      </x:c>
      <x:c r="E230" s="10" t="n">
        <x:v>27.6023451693</x:v>
      </x:c>
      <x:c r="F230" s="10" t="n">
        <x:v>112.190002441</x:v>
      </x:c>
      <x:c r="G230" s="11" t="n">
        <x:f>'Summary'!$C$18</x:f>
        <x:v>1000</x:v>
      </x:c>
      <x:c r="H230" s="12" t="n">
        <x:f>G230/E230</x:f>
        <x:v>36.228805699894814</x:v>
      </x:c>
      <x:c r="I230" s="11" t="n">
        <x:f>H230*F230</x:f>
        <x:v>4064.509799905714</x:v>
      </x:c>
      <x:c r="J230" s="10" t="n">
        <x:v>184.5470708464</x:v>
      </x:c>
      <x:c r="K230" s="10" t="n">
        <x:v>778.570007324</x:v>
      </x:c>
      <x:c r="L230" s="11" t="n">
        <x:f>G230*K230/J230</x:f>
        <x:v>4218.815306865586</x:v>
      </x:c>
      <x:c r="M230" s="2" t="str">
        <x:v>current price</x:v>
      </x:c>
      <x:c r="N230" s="8" t="d">
        <x:v>2026-10-09T00:00:00.000Z</x:v>
      </x:c>
      <x:c r="O230" s="11" t="n">
        <x:f>I230-L230</x:f>
        <x:v>-154.30550695987176</x:v>
      </x:c>
    </x:row>
    <x:row r="231" ht="22" customHeight="1">
      <x:c r="A231" s="8" t="d">
        <x:v>2016-09-01T00:00:00.000Z</x:v>
      </x:c>
      <x:c r="B231" s="8" t="d">
        <x:v>2016-08-31T00:00:00.000Z</x:v>
      </x:c>
      <x:c r="C231" s="2" t="str">
        <x:v>NTAP</x:v>
      </x:c>
      <x:c r="D231" s="9" t="n">
        <x:v>0.3127134593</x:v>
      </x:c>
      <x:c r="E231" s="10" t="n">
        <x:v>27.09132483</x:v>
      </x:c>
      <x:c r="F231" s="10" t="n">
        <x:v>237.149993896</x:v>
      </x:c>
      <x:c r="G231" s="11" t="n">
        <x:f>'Summary'!$C$18</x:f>
        <x:v>1000</x:v>
      </x:c>
      <x:c r="H231" s="12" t="n">
        <x:f>G231/E231</x:f>
        <x:v>36.91218522073289</x:v>
      </x:c>
      <x:c r="I231" s="11" t="n">
        <x:f>H231*F231</x:f>
        <x:v>8753.724499784827</x:v>
      </x:c>
      <x:c r="J231" s="10" t="n">
        <x:v>184.7000112244</x:v>
      </x:c>
      <x:c r="K231" s="10" t="n">
        <x:v>778.570007324</x:v>
      </x:c>
      <x:c r="L231" s="11" t="n">
        <x:f>G231*K231/J231</x:f>
        <x:v>4215.321927501574</x:v>
      </x:c>
      <x:c r="M231" s="2" t="str">
        <x:v>current price</x:v>
      </x:c>
      <x:c r="N231" s="8" t="d">
        <x:v>2026-10-09T00:00:00.000Z</x:v>
      </x:c>
      <x:c r="O231" s="11" t="n">
        <x:f>I231-L231</x:f>
        <x:v>4538.402572283253</x:v>
      </x:c>
    </x:row>
    <x:row r="232" ht="22" customHeight="1">
      <x:c r="A232" s="8" t="d">
        <x:v>2016-10-03T00:00:00.000Z</x:v>
      </x:c>
      <x:c r="B232" s="8" t="d">
        <x:v>2016-09-30T00:00:00.000Z</x:v>
      </x:c>
      <x:c r="C232" s="2" t="str">
        <x:v>APA</x:v>
      </x:c>
      <x:c r="D232" s="9" t="n">
        <x:v>0.2851106228</x:v>
      </x:c>
      <x:c r="E232" s="10" t="n">
        <x:v>49.4148570082</x:v>
      </x:c>
      <x:c r="F232" s="10" t="n">
        <x:v>45.8800010681</x:v>
      </x:c>
      <x:c r="G232" s="11" t="n">
        <x:f>'Summary'!$C$18</x:f>
        <x:v>1000</x:v>
      </x:c>
      <x:c r="H232" s="12" t="n">
        <x:f>G232/E232</x:f>
        <x:v>20.23682877062779</x:v>
      </x:c>
      <x:c r="I232" s="11" t="n">
        <x:f>H232*F232</x:f>
        <x:v>928.4657256113597</x:v>
      </x:c>
      <x:c r="J232" s="10" t="n">
        <x:v>184.3093224058</x:v>
      </x:c>
      <x:c r="K232" s="10" t="n">
        <x:v>778.570007324</x:v>
      </x:c>
      <x:c r="L232" s="11" t="n">
        <x:f>G232*K232/J232</x:f>
        <x:v>4224.257336315286</x:v>
      </x:c>
      <x:c r="M232" s="2" t="str">
        <x:v>current price</x:v>
      </x:c>
      <x:c r="N232" s="8" t="d">
        <x:v>2026-10-09T00:00:00.000Z</x:v>
      </x:c>
      <x:c r="O232" s="11" t="n">
        <x:f>I232-L232</x:f>
        <x:v>-3295.7916107039264</x:v>
      </x:c>
    </x:row>
    <x:row r="233" ht="22" customHeight="1">
      <x:c r="A233" s="8" t="d">
        <x:v>2016-11-01T00:00:00.000Z</x:v>
      </x:c>
      <x:c r="B233" s="8" t="d">
        <x:v>2016-10-31T00:00:00.000Z</x:v>
      </x:c>
      <x:c r="C233" s="2" t="str">
        <x:v>AKAM</x:v>
      </x:c>
      <x:c r="D233" s="9" t="n">
        <x:v>0.3110020574</x:v>
      </x:c>
      <x:c r="E233" s="10" t="n">
        <x:v>69.3899993896</x:v>
      </x:c>
      <x:c r="F233" s="10" t="n">
        <x:v>106.949996948</x:v>
      </x:c>
      <x:c r="G233" s="11" t="n">
        <x:f>'Summary'!$C$18</x:f>
        <x:v>1000</x:v>
      </x:c>
      <x:c r="H233" s="12" t="n">
        <x:f>G233/E233</x:f>
        <x:v>14.411298584762308</x:v>
      </x:c>
      <x:c r="I233" s="11" t="n">
        <x:f>H233*F233</x:f>
        <x:v>1541.2883396570458</x:v>
      </x:c>
      <x:c r="J233" s="10" t="n">
        <x:v>181.8412628026</x:v>
      </x:c>
      <x:c r="K233" s="10" t="n">
        <x:v>778.570007324</x:v>
      </x:c>
      <x:c r="L233" s="11" t="n">
        <x:f>G233*K233/J233</x:f>
        <x:v>4281.591511873662</x:v>
      </x:c>
      <x:c r="M233" s="2" t="str">
        <x:v>current price</x:v>
      </x:c>
      <x:c r="N233" s="8" t="d">
        <x:v>2026-10-09T00:00:00.000Z</x:v>
      </x:c>
      <x:c r="O233" s="11" t="n">
        <x:f>I233-L233</x:f>
        <x:v>-2740.303172216616</x:v>
      </x:c>
    </x:row>
    <x:row r="234" ht="22" customHeight="1">
      <x:c r="A234" s="8" t="d">
        <x:v>2016-12-01T00:00:00.000Z</x:v>
      </x:c>
      <x:c r="B234" s="8" t="d">
        <x:v>2016-11-30T00:00:00.000Z</x:v>
      </x:c>
      <x:c r="C234" s="2" t="str">
        <x:v>HAR-201703</x:v>
      </x:c>
      <x:c r="D234" s="9" t="n">
        <x:v>0.3777301271</x:v>
      </x:c>
      <x:c r="E234" s="10" t="n">
        <x:v>109.0359140751</x:v>
      </x:c>
      <x:c r="F234" s="10" t="n">
        <x:v>0</x:v>
      </x:c>
      <x:c r="G234" s="11" t="n">
        <x:f>'Summary'!$C$18</x:f>
        <x:v>1000</x:v>
      </x:c>
      <x:c r="H234" s="12" t="n">
        <x:f>G234/E234</x:f>
        <x:v>9.171290106406923</x:v>
      </x:c>
      <x:c r="I234" s="11" t="n">
        <x:f>H234*F234</x:f>
        <x:v>0</x:v>
      </x:c>
      <x:c r="J234" s="10" t="n">
        <x:v>188.5024305745</x:v>
      </x:c>
      <x:c r="K234" s="10" t="n">
        <x:v>778.570007324</x:v>
      </x:c>
      <x:c r="L234" s="11" t="n">
        <x:f>G234*K234/J234</x:f>
        <x:v>4130.291609244228</x:v>
      </x:c>
      <x:c r="M234" s="2" t="str">
        <x:v>written off ($0 rule)</x:v>
      </x:c>
      <x:c r="N234" s="8" t="d">
        <x:v>2017-03-10T00:00:00.000Z</x:v>
      </x:c>
      <x:c r="O234" s="11" t="n">
        <x:f>I234-L234</x:f>
        <x:v>-4130.291609244228</x:v>
      </x:c>
    </x:row>
    <x:row r="235" ht="22" customHeight="1">
      <x:c r="A235" s="8" t="d">
        <x:v>2017-01-03T00:00:00.000Z</x:v>
      </x:c>
      <x:c r="B235" s="8" t="d">
        <x:v>2016-12-30T00:00:00.000Z</x:v>
      </x:c>
      <x:c r="C235" s="2" t="str">
        <x:v>NVDA</x:v>
      </x:c>
      <x:c r="D235" s="9" t="n">
        <x:v>0.1577005941</x:v>
      </x:c>
      <x:c r="E235" s="10" t="n">
        <x:v>2.5650635883</x:v>
      </x:c>
      <x:c r="F235" s="10" t="n">
        <x:v>229.279998779</x:v>
      </x:c>
      <x:c r="G235" s="11" t="n">
        <x:f>'Summary'!$C$18</x:f>
        <x:v>1000</x:v>
      </x:c>
      <x:c r="H235" s="12" t="n">
        <x:f>G235/E235</x:f>
        <x:v>389.85388298414523</x:v>
      </x:c>
      <x:c r="I235" s="11" t="n">
        <x:f>H235*F235</x:f>
        <x:v>89385.69781459324</x:v>
      </x:c>
      <x:c r="J235" s="10" t="n">
        <x:v>193.3158895077</x:v>
      </x:c>
      <x:c r="K235" s="10" t="n">
        <x:v>778.570007324</x:v>
      </x:c>
      <x:c r="L235" s="11" t="n">
        <x:f>G235*K235/J235</x:f>
        <x:v>4027.44962820549</x:v>
      </x:c>
      <x:c r="M235" s="2" t="str">
        <x:v>current price</x:v>
      </x:c>
      <x:c r="N235" s="8" t="d">
        <x:v>2026-10-09T00:00:00.000Z</x:v>
      </x:c>
      <x:c r="O235" s="11" t="n">
        <x:f>I235-L235</x:f>
        <x:v>85358.24818638775</x:v>
      </x:c>
    </x:row>
    <x:row r="236" ht="22" customHeight="1">
      <x:c r="A236" s="8" t="d">
        <x:v>2017-02-01T00:00:00.000Z</x:v>
      </x:c>
      <x:c r="B236" s="8" t="d">
        <x:v>2017-01-31T00:00:00.000Z</x:v>
      </x:c>
      <x:c r="C236" s="2" t="str">
        <x:v>NRG</x:v>
      </x:c>
      <x:c r="D236" s="9" t="n">
        <x:v>0.3515676877</x:v>
      </x:c>
      <x:c r="E236" s="10" t="n">
        <x:v>13.4666675332</x:v>
      </x:c>
      <x:c r="F236" s="10" t="n">
        <x:v>107.970001221</x:v>
      </x:c>
      <x:c r="G236" s="11" t="n">
        <x:f>'Summary'!$C$18</x:f>
        <x:v>1000</x:v>
      </x:c>
      <x:c r="H236" s="12" t="n">
        <x:f>G236/E236</x:f>
        <x:v>74.25742096436655</x:v>
      </x:c>
      <x:c r="I236" s="11" t="n">
        <x:f>H236*F236</x:f>
        <x:v>8017.573832190968</x:v>
      </x:c>
      <x:c r="J236" s="10" t="n">
        <x:v>195.4548765371</x:v>
      </x:c>
      <x:c r="K236" s="10" t="n">
        <x:v>778.570007324</x:v>
      </x:c>
      <x:c r="L236" s="11" t="n">
        <x:f>G236*K236/J236</x:f>
        <x:v>3983.374685339287</x:v>
      </x:c>
      <x:c r="M236" s="2" t="str">
        <x:v>current price</x:v>
      </x:c>
      <x:c r="N236" s="8" t="d">
        <x:v>2026-10-09T00:00:00.000Z</x:v>
      </x:c>
      <x:c r="O236" s="11" t="n">
        <x:f>I236-L236</x:f>
        <x:v>4034.1991468516803</x:v>
      </x:c>
    </x:row>
    <x:row r="237" ht="22" customHeight="1">
      <x:c r="A237" s="8" t="d">
        <x:v>2017-03-01T00:00:00.000Z</x:v>
      </x:c>
      <x:c r="B237" s="8" t="d">
        <x:v>2017-02-28T00:00:00.000Z</x:v>
      </x:c>
      <x:c r="C237" s="2" t="str">
        <x:v>HWM</x:v>
      </x:c>
      <x:c r="D237" s="9" t="n">
        <x:v>0.2666079813</x:v>
      </x:c>
      <x:c r="E237" s="10" t="n">
        <x:v>24.8982684666</x:v>
      </x:c>
      <x:c r="F237" s="10" t="n">
        <x:v>225.259994507</x:v>
      </x:c>
      <x:c r="G237" s="11" t="n">
        <x:f>'Summary'!$C$18</x:f>
        <x:v>1000</x:v>
      </x:c>
      <x:c r="H237" s="12" t="n">
        <x:f>G237/E237</x:f>
        <x:v>40.16343551526319</x:v>
      </x:c>
      <x:c r="I237" s="11" t="n">
        <x:f>H237*F237</x:f>
        <x:v>9047.215263550434</x:v>
      </x:c>
      <x:c r="J237" s="10" t="n">
        <x:v>204.7839324426</x:v>
      </x:c>
      <x:c r="K237" s="10" t="n">
        <x:v>778.570007324</x:v>
      </x:c>
      <x:c r="L237" s="11" t="n">
        <x:f>G237*K237/J237</x:f>
        <x:v>3801.909642213896</x:v>
      </x:c>
      <x:c r="M237" s="2" t="str">
        <x:v>current price</x:v>
      </x:c>
      <x:c r="N237" s="8" t="d">
        <x:v>2026-10-09T00:00:00.000Z</x:v>
      </x:c>
      <x:c r="O237" s="11" t="n">
        <x:f>I237-L237</x:f>
        <x:v>5245.305621336538</x:v>
      </x:c>
    </x:row>
    <x:row r="238" ht="22" customHeight="1">
      <x:c r="A238" s="8" t="d">
        <x:v>2017-04-03T00:00:00.000Z</x:v>
      </x:c>
      <x:c r="B238" s="8" t="d">
        <x:v>2017-03-31T00:00:00.000Z</x:v>
      </x:c>
      <x:c r="C238" s="2" t="str">
        <x:v>MU</x:v>
      </x:c>
      <x:c r="D238" s="9" t="n">
        <x:v>0.2329351092</x:v>
      </x:c>
      <x:c r="E238" s="10" t="n">
        <x:v>28.2302244506</x:v>
      </x:c>
      <x:c r="F238" s="10" t="n">
        <x:v>1029</x:v>
      </x:c>
      <x:c r="G238" s="11" t="n">
        <x:f>'Summary'!$C$18</x:f>
        <x:v>1000</x:v>
      </x:c>
      <x:c r="H238" s="12" t="n">
        <x:f>G238/E238</x:f>
        <x:v>35.42302689622243</x:v>
      </x:c>
      <x:c r="I238" s="11" t="n">
        <x:f>H238*F238</x:f>
        <x:v>36450.294676212885</x:v>
      </x:c>
      <x:c r="J238" s="10" t="n">
        <x:v>203.4402722989</x:v>
      </x:c>
      <x:c r="K238" s="10" t="n">
        <x:v>778.570007324</x:v>
      </x:c>
      <x:c r="L238" s="11" t="n">
        <x:f>G238*K238/J238</x:f>
        <x:v>3827.0200807640667</x:v>
      </x:c>
      <x:c r="M238" s="2" t="str">
        <x:v>current price</x:v>
      </x:c>
      <x:c r="N238" s="8" t="d">
        <x:v>2026-10-09T00:00:00.000Z</x:v>
      </x:c>
      <x:c r="O238" s="11" t="n">
        <x:f>I238-L238</x:f>
        <x:v>32623.27459544882</x:v>
      </x:c>
    </x:row>
    <x:row r="239" ht="22" customHeight="1">
      <x:c r="A239" s="8" t="d">
        <x:v>2017-05-01T00:00:00.000Z</x:v>
      </x:c>
      <x:c r="B239" s="8" t="d">
        <x:v>2017-04-28T00:00:00.000Z</x:v>
      </x:c>
      <x:c r="C239" s="2" t="str">
        <x:v>BCR-201712</x:v>
      </x:c>
      <x:c r="D239" s="9" t="n">
        <x:v>0.2382049286</x:v>
      </x:c>
      <x:c r="E239" s="10" t="n">
        <x:v>307.3598217371</x:v>
      </x:c>
      <x:c r="F239" s="10" t="n">
        <x:v>0</x:v>
      </x:c>
      <x:c r="G239" s="11" t="n">
        <x:f>'Summary'!$C$18</x:f>
        <x:v>1000</x:v>
      </x:c>
      <x:c r="H239" s="12" t="n">
        <x:f>G239/E239</x:f>
        <x:v>3.2535156818751325</x:v>
      </x:c>
      <x:c r="I239" s="11" t="n">
        <x:f>H239*F239</x:f>
        <x:v>0</x:v>
      </x:c>
      <x:c r="J239" s="10" t="n">
        <x:v>205.925029999</x:v>
      </x:c>
      <x:c r="K239" s="10" t="n">
        <x:v>778.570007324</x:v>
      </x:c>
      <x:c r="L239" s="11" t="n">
        <x:f>G239*K239/J239</x:f>
        <x:v>3780.8420245357297</x:v>
      </x:c>
      <x:c r="M239" s="2" t="str">
        <x:v>written off ($0 rule)</x:v>
      </x:c>
      <x:c r="N239" s="8" t="d">
        <x:v>2017-12-28T00:00:00.000Z</x:v>
      </x:c>
      <x:c r="O239" s="11" t="n">
        <x:f>I239-L239</x:f>
        <x:v>-3780.8420245357297</x:v>
      </x:c>
    </x:row>
    <x:row r="240" ht="22" customHeight="1">
      <x:c r="A240" s="8" t="d">
        <x:v>2017-06-01T00:00:00.000Z</x:v>
      </x:c>
      <x:c r="B240" s="8" t="d">
        <x:v>2017-05-31T00:00:00.000Z</x:v>
      </x:c>
      <x:c r="C240" s="2" t="str">
        <x:v>NVDA</x:v>
      </x:c>
      <x:c r="D240" s="9" t="n">
        <x:v>0.3854460916</x:v>
      </x:c>
      <x:c r="E240" s="10" t="n">
        <x:v>3.5705950891</x:v>
      </x:c>
      <x:c r="F240" s="10" t="n">
        <x:v>229.279998779</x:v>
      </x:c>
      <x:c r="G240" s="11" t="n">
        <x:f>'Summary'!$C$18</x:f>
        <x:v>1000</x:v>
      </x:c>
      <x:c r="H240" s="12" t="n">
        <x:f>G240/E240</x:f>
        <x:v>280.065360268016</x:v>
      </x:c>
      <x:c r="I240" s="11" t="n">
        <x:f>H240*F240</x:f>
        <x:v>64213.385460290905</x:v>
      </x:c>
      <x:c r="J240" s="10" t="n">
        <x:v>208.7635381659</x:v>
      </x:c>
      <x:c r="K240" s="10" t="n">
        <x:v>778.570007324</x:v>
      </x:c>
      <x:c r="L240" s="11" t="n">
        <x:f>G240*K240/J240</x:f>
        <x:v>3729.4348149305974</x:v>
      </x:c>
      <x:c r="M240" s="2" t="str">
        <x:v>current price</x:v>
      </x:c>
      <x:c r="N240" s="8" t="d">
        <x:v>2026-10-09T00:00:00.000Z</x:v>
      </x:c>
      <x:c r="O240" s="11" t="n">
        <x:f>I240-L240</x:f>
        <x:v>60483.95064536031</x:v>
      </x:c>
    </x:row>
    <x:row r="241" ht="22" customHeight="1">
      <x:c r="A241" s="8" t="d">
        <x:v>2017-07-03T00:00:00.000Z</x:v>
      </x:c>
      <x:c r="B241" s="8" t="d">
        <x:v>2017-06-30T00:00:00.000Z</x:v>
      </x:c>
      <x:c r="C241" s="2" t="str">
        <x:v>SIG</x:v>
      </x:c>
      <x:c r="D241" s="9" t="n">
        <x:v>0.3147609914</x:v>
      </x:c>
      <x:c r="E241" s="10" t="n">
        <x:v>52.9088507343</x:v>
      </x:c>
      <x:c r="F241" s="10" t="n">
        <x:v>105.220001221</x:v>
      </x:c>
      <x:c r="G241" s="11" t="n">
        <x:f>'Summary'!$C$18</x:f>
        <x:v>1000</x:v>
      </x:c>
      <x:c r="H241" s="12" t="n">
        <x:f>G241/E241</x:f>
        <x:v>18.90042943895803</x:v>
      </x:c>
      <x:c r="I241" s="11" t="n">
        <x:f>H241*F241</x:f>
        <x:v>1988.7032086445886</x:v>
      </x:c>
      <x:c r="J241" s="10" t="n">
        <x:v>210.5705437402</x:v>
      </x:c>
      <x:c r="K241" s="10" t="n">
        <x:v>778.570007324</x:v>
      </x:c>
      <x:c r="L241" s="11" t="n">
        <x:f>G241*K241/J241</x:f>
        <x:v>3697.4307683062852</x:v>
      </x:c>
      <x:c r="M241" s="2" t="str">
        <x:v>current price</x:v>
      </x:c>
      <x:c r="N241" s="8" t="d">
        <x:v>2026-10-09T00:00:00.000Z</x:v>
      </x:c>
      <x:c r="O241" s="11" t="n">
        <x:f>I241-L241</x:f>
        <x:v>-1708.7275596616967</x:v>
      </x:c>
    </x:row>
    <x:row r="242" ht="22" customHeight="1">
      <x:c r="A242" s="8" t="d">
        <x:v>2017-08-01T00:00:00.000Z</x:v>
      </x:c>
      <x:c r="B242" s="8" t="d">
        <x:v>2017-07-31T00:00:00.000Z</x:v>
      </x:c>
      <x:c r="C242" s="2" t="str">
        <x:v>NRG</x:v>
      </x:c>
      <x:c r="D242" s="9" t="n">
        <x:v>0.43147797</x:v>
      </x:c>
      <x:c r="E242" s="10" t="n">
        <x:v>20.1983983077</x:v>
      </x:c>
      <x:c r="F242" s="10" t="n">
        <x:v>107.970001221</x:v>
      </x:c>
      <x:c r="G242" s="11" t="n">
        <x:f>'Summary'!$C$18</x:f>
        <x:v>1000</x:v>
      </x:c>
      <x:c r="H242" s="12" t="n">
        <x:f>G242/E242</x:f>
        <x:v>49.50887613790553</x:v>
      </x:c>
      <x:c r="I242" s="11" t="n">
        <x:f>H242*F242</x:f>
        <x:v>5345.473417059999</x:v>
      </x:c>
      <x:c r="J242" s="10" t="n">
        <x:v>214.5412842563</x:v>
      </x:c>
      <x:c r="K242" s="10" t="n">
        <x:v>778.570007324</x:v>
      </x:c>
      <x:c r="L242" s="11" t="n">
        <x:f>G242*K242/J242</x:f>
        <x:v>3628.9985399448233</x:v>
      </x:c>
      <x:c r="M242" s="2" t="str">
        <x:v>current price</x:v>
      </x:c>
      <x:c r="N242" s="8" t="d">
        <x:v>2026-10-09T00:00:00.000Z</x:v>
      </x:c>
      <x:c r="O242" s="11" t="n">
        <x:f>I242-L242</x:f>
        <x:v>1716.4748771151753</x:v>
      </x:c>
    </x:row>
    <x:row r="243" ht="22" customHeight="1">
      <x:c r="A243" s="8" t="d">
        <x:v>2017-09-01T00:00:00.000Z</x:v>
      </x:c>
      <x:c r="B243" s="8" t="d">
        <x:v>2017-08-31T00:00:00.000Z</x:v>
      </x:c>
      <x:c r="C243" s="2" t="str">
        <x:v>COL-201811</x:v>
      </x:c>
      <x:c r="D243" s="9" t="n">
        <x:v>0.2333892237</x:v>
      </x:c>
      <x:c r="E243" s="10" t="n">
        <x:v>129.2943355452</x:v>
      </x:c>
      <x:c r="F243" s="10" t="n">
        <x:v>0</x:v>
      </x:c>
      <x:c r="G243" s="11" t="n">
        <x:f>'Summary'!$C$18</x:f>
        <x:v>1000</x:v>
      </x:c>
      <x:c r="H243" s="12" t="n">
        <x:f>G243/E243</x:f>
        <x:v>7.73429087812134</x:v>
      </x:c>
      <x:c r="I243" s="11" t="n">
        <x:f>H243*F243</x:f>
        <x:v>0</x:v>
      </x:c>
      <x:c r="J243" s="10" t="n">
        <x:v>214.9400846876</x:v>
      </x:c>
      <x:c r="K243" s="10" t="n">
        <x:v>778.570007324</x:v>
      </x:c>
      <x:c r="L243" s="11" t="n">
        <x:f>G243*K243/J243</x:f>
        <x:v>3622.2652859544355</x:v>
      </x:c>
      <x:c r="M243" s="2" t="str">
        <x:v>written off ($0 rule)</x:v>
      </x:c>
      <x:c r="N243" s="8" t="d">
        <x:v>2018-11-26T00:00:00.000Z</x:v>
      </x:c>
      <x:c r="O243" s="11" t="n">
        <x:f>I243-L243</x:f>
        <x:v>-3622.2652859544355</x:v>
      </x:c>
    </x:row>
    <x:row r="244" ht="22" customHeight="1">
      <x:c r="A244" s="8" t="d">
        <x:v>2017-10-02T00:00:00.000Z</x:v>
      </x:c>
      <x:c r="B244" s="8" t="d">
        <x:v>2017-09-29T00:00:00.000Z</x:v>
      </x:c>
      <x:c r="C244" s="2" t="str">
        <x:v>GAP</x:v>
      </x:c>
      <x:c r="D244" s="9" t="n">
        <x:v>0.2502116697</x:v>
      </x:c>
      <x:c r="E244" s="10" t="n">
        <x:v>21.3837014502</x:v>
      </x:c>
      <x:c r="F244" s="10" t="n">
        <x:v>23.2299995422</x:v>
      </x:c>
      <x:c r="G244" s="11" t="n">
        <x:f>'Summary'!$C$18</x:f>
        <x:v>1000</x:v>
      </x:c>
      <x:c r="H244" s="12" t="n">
        <x:f>G244/E244</x:f>
        <x:v>46.76458855025059</x:v>
      </x:c>
      <x:c r="I244" s="11" t="n">
        <x:f>H244*F244</x:f>
        <x:v>1086.3413706134927</x:v>
      </x:c>
      <x:c r="J244" s="10" t="n">
        <x:v>219.1172362908</x:v>
      </x:c>
      <x:c r="K244" s="10" t="n">
        <x:v>778.570007324</x:v>
      </x:c>
      <x:c r="L244" s="11" t="n">
        <x:f>G244*K244/J244</x:f>
        <x:v>3553.2120635673127</x:v>
      </x:c>
      <x:c r="M244" s="2" t="str">
        <x:v>current price</x:v>
      </x:c>
      <x:c r="N244" s="8" t="d">
        <x:v>2026-10-09T00:00:00.000Z</x:v>
      </x:c>
      <x:c r="O244" s="11" t="n">
        <x:f>I244-L244</x:f>
        <x:v>-2466.8706929538203</x:v>
      </x:c>
    </x:row>
    <x:row r="245" ht="22" customHeight="1">
      <x:c r="A245" s="8" t="d">
        <x:v>2017-11-01T00:00:00.000Z</x:v>
      </x:c>
      <x:c r="B245" s="8" t="d">
        <x:v>2017-10-31T00:00:00.000Z</x:v>
      </x:c>
      <x:c r="C245" s="2" t="str">
        <x:v>ALGN</x:v>
      </x:c>
      <x:c r="D245" s="9" t="n">
        <x:v>0.2829762723</x:v>
      </x:c>
      <x:c r="E245" s="10" t="n">
        <x:v>243</x:v>
      </x:c>
      <x:c r="F245" s="10" t="n">
        <x:v>142.710006714</x:v>
      </x:c>
      <x:c r="G245" s="11" t="n">
        <x:f>'Summary'!$C$18</x:f>
        <x:v>1000</x:v>
      </x:c>
      <x:c r="H245" s="12" t="n">
        <x:f>G245/E245</x:f>
        <x:v>4.11522633744856</x:v>
      </x:c>
      <x:c r="I245" s="11" t="n">
        <x:f>H245*F245</x:f>
        <x:v>587.2839782469135</x:v>
      </x:c>
      <x:c r="J245" s="10" t="n">
        <x:v>224.8240975381</x:v>
      </x:c>
      <x:c r="K245" s="10" t="n">
        <x:v>778.570007324</x:v>
      </x:c>
      <x:c r="L245" s="11" t="n">
        <x:f>G245*K245/J245</x:f>
        <x:v>3463.018492455236</x:v>
      </x:c>
      <x:c r="M245" s="2" t="str">
        <x:v>current price</x:v>
      </x:c>
      <x:c r="N245" s="8" t="d">
        <x:v>2026-10-09T00:00:00.000Z</x:v>
      </x:c>
      <x:c r="O245" s="11" t="n">
        <x:f>I245-L245</x:f>
        <x:v>-2875.7345142083223</x:v>
      </x:c>
    </x:row>
    <x:row r="246" ht="22" customHeight="1">
      <x:c r="A246" s="8" t="d">
        <x:v>2017-12-01T00:00:00.000Z</x:v>
      </x:c>
      <x:c r="B246" s="8" t="d">
        <x:v>2017-11-30T00:00:00.000Z</x:v>
      </x:c>
      <x:c r="C246" s="2" t="str">
        <x:v>FL</x:v>
      </x:c>
      <x:c r="D246" s="9" t="n">
        <x:v>0.4242021277</x:v>
      </x:c>
      <x:c r="E246" s="10" t="n">
        <x:v>34.5506589116</x:v>
      </x:c>
      <x:c r="F246" s="10" t="n">
        <x:v>0</x:v>
      </x:c>
      <x:c r="G246" s="11" t="n">
        <x:f>'Summary'!$C$18</x:f>
        <x:v>1000</x:v>
      </x:c>
      <x:c r="H246" s="12" t="n">
        <x:f>G246/E246</x:f>
        <x:v>28.9430080786176</x:v>
      </x:c>
      <x:c r="I246" s="11" t="n">
        <x:f>H246*F246</x:f>
        <x:v>0</x:v>
      </x:c>
      <x:c r="J246" s="10" t="n">
        <x:v>230.67907413</x:v>
      </x:c>
      <x:c r="K246" s="10" t="n">
        <x:v>778.570007324</x:v>
      </x:c>
      <x:c r="L246" s="11" t="n">
        <x:f>G246*K246/J246</x:f>
        <x:v>3375.121953564085</x:v>
      </x:c>
      <x:c r="M246" s="2" t="str">
        <x:v>written off ($0 rule)</x:v>
      </x:c>
      <x:c r="N246" s="8" t="d">
        <x:v>2025-09-05T00:00:00.000Z</x:v>
      </x:c>
      <x:c r="O246" s="11" t="n">
        <x:f>I246-L246</x:f>
        <x:v>-3375.121953564085</x:v>
      </x:c>
    </x:row>
    <x:row r="247" ht="22" customHeight="1">
      <x:c r="A247" s="8" t="d">
        <x:v>2018-01-02T00:00:00.000Z</x:v>
      </x:c>
      <x:c r="B247" s="8" t="d">
        <x:v>2017-12-29T00:00:00.000Z</x:v>
      </x:c>
      <x:c r="C247" s="2" t="str">
        <x:v>FCX</x:v>
      </x:c>
      <x:c r="D247" s="9" t="n">
        <x:v>0.3620688923</x:v>
      </x:c>
      <x:c r="E247" s="10" t="n">
        <x:v>17.1571077786</x:v>
      </x:c>
      <x:c r="F247" s="10" t="n">
        <x:v>73.6900024414</x:v>
      </x:c>
      <x:c r="G247" s="11" t="n">
        <x:f>'Summary'!$C$18</x:f>
        <x:v>1000</x:v>
      </x:c>
      <x:c r="H247" s="12" t="n">
        <x:f>G247/E247</x:f>
        <x:v>58.28488186378922</x:v>
      </x:c>
      <x:c r="I247" s="11" t="n">
        <x:f>H247*F247</x:f>
        <x:v>4295.013086839338</x:v>
      </x:c>
      <x:c r="J247" s="10" t="n">
        <x:v>234.5554121144</x:v>
      </x:c>
      <x:c r="K247" s="10" t="n">
        <x:v>778.570007324</x:v>
      </x:c>
      <x:c r="L247" s="11" t="n">
        <x:f>G247*K247/J247</x:f>
        <x:v>3319.34360544308</x:v>
      </x:c>
      <x:c r="M247" s="2" t="str">
        <x:v>current price</x:v>
      </x:c>
      <x:c r="N247" s="8" t="d">
        <x:v>2026-10-09T00:00:00.000Z</x:v>
      </x:c>
      <x:c r="O247" s="11" t="n">
        <x:f>I247-L247</x:f>
        <x:v>975.6694813962581</x:v>
      </x:c>
    </x:row>
    <x:row r="248" ht="22" customHeight="1">
      <x:c r="A248" s="8" t="d">
        <x:v>2018-02-01T00:00:00.000Z</x:v>
      </x:c>
      <x:c r="B248" s="8" t="d">
        <x:v>2018-01-31T00:00:00.000Z</x:v>
      </x:c>
      <x:c r="C248" s="2" t="str">
        <x:v>NFLX</x:v>
      </x:c>
      <x:c r="D248" s="9" t="n">
        <x:v>0.4081059538</x:v>
      </x:c>
      <x:c r="E248" s="10" t="n">
        <x:v>26.6410007477</x:v>
      </x:c>
      <x:c r="F248" s="10" t="n">
        <x:v>70.3000030518</x:v>
      </x:c>
      <x:c r="G248" s="11" t="n">
        <x:f>'Summary'!$C$18</x:f>
        <x:v>1000</x:v>
      </x:c>
      <x:c r="H248" s="12" t="n">
        <x:f>G248/E248</x:f>
        <x:v>37.536127470223995</x:v>
      </x:c>
      <x:c r="I248" s="11" t="n">
        <x:f>H248*F248</x:f>
        <x:v>2638.789875709501</x:v>
      </x:c>
      <x:c r="J248" s="10" t="n">
        <x:v>246.1413243066</x:v>
      </x:c>
      <x:c r="K248" s="10" t="n">
        <x:v>778.570007324</x:v>
      </x:c>
      <x:c r="L248" s="11" t="n">
        <x:f>G248*K248/J248</x:f>
        <x:v>3163.101561744232</x:v>
      </x:c>
      <x:c r="M248" s="2" t="str">
        <x:v>current price</x:v>
      </x:c>
      <x:c r="N248" s="8" t="d">
        <x:v>2026-10-09T00:00:00.000Z</x:v>
      </x:c>
      <x:c r="O248" s="11" t="n">
        <x:f>I248-L248</x:f>
        <x:v>-524.3116860347313</x:v>
      </x:c>
    </x:row>
    <x:row r="249" ht="22" customHeight="1">
      <x:c r="A249" s="8" t="d">
        <x:v>2018-03-01T00:00:00.000Z</x:v>
      </x:c>
      <x:c r="B249" s="8" t="d">
        <x:v>2018-02-28T00:00:00.000Z</x:v>
      </x:c>
      <x:c r="C249" s="2" t="str">
        <x:v>CSRA-201804</x:v>
      </x:c>
      <x:c r="D249" s="9" t="n">
        <x:v>0.2178485577</x:v>
      </x:c>
      <x:c r="E249" s="10" t="n">
        <x:v>40.4419114445</x:v>
      </x:c>
      <x:c r="F249" s="10" t="n">
        <x:v>0</x:v>
      </x:c>
      <x:c r="G249" s="11" t="n">
        <x:f>'Summary'!$C$18</x:f>
        <x:v>1000</x:v>
      </x:c>
      <x:c r="H249" s="12" t="n">
        <x:f>G249/E249</x:f>
        <x:v>24.726823344448956</x:v>
      </x:c>
      <x:c r="I249" s="11" t="n">
        <x:f>H249*F249</x:f>
        <x:v>0</x:v>
      </x:c>
      <x:c r="J249" s="10" t="n">
        <x:v>237.6817731906</x:v>
      </x:c>
      <x:c r="K249" s="10" t="n">
        <x:v>778.570007324</x:v>
      </x:c>
      <x:c r="L249" s="11" t="n">
        <x:f>G249*K249/J249</x:f>
        <x:v>3275.682425592033</x:v>
      </x:c>
      <x:c r="M249" s="2" t="str">
        <x:v>written off ($0 rule)</x:v>
      </x:c>
      <x:c r="N249" s="8" t="d">
        <x:v>2018-04-03T00:00:00.000Z</x:v>
      </x:c>
      <x:c r="O249" s="11" t="n">
        <x:f>I249-L249</x:f>
        <x:v>-3275.682425592033</x:v>
      </x:c>
    </x:row>
    <x:row r="250" ht="22" customHeight="1">
      <x:c r="A250" s="8" t="d">
        <x:v>2018-04-02T00:00:00.000Z</x:v>
      </x:c>
      <x:c r="B250" s="8" t="d">
        <x:v>2018-03-29T00:00:00.000Z</x:v>
      </x:c>
      <x:c r="C250" s="2" t="str">
        <x:v>XL-201809</x:v>
      </x:c>
      <x:c r="D250" s="9" t="n">
        <x:v>0.3112626635</x:v>
      </x:c>
      <x:c r="E250" s="10" t="n">
        <x:v>55.1634796517</x:v>
      </x:c>
      <x:c r="F250" s="10" t="n">
        <x:v>0</x:v>
      </x:c>
      <x:c r="G250" s="11" t="n">
        <x:f>'Summary'!$C$18</x:f>
        <x:v>1000</x:v>
      </x:c>
      <x:c r="H250" s="12" t="n">
        <x:f>G250/E250</x:f>
        <x:v>18.127935480393187</x:v>
      </x:c>
      <x:c r="I250" s="11" t="n">
        <x:f>H250*F250</x:f>
        <x:v>0</x:v>
      </x:c>
      <x:c r="J250" s="10" t="n">
        <x:v>230.8436513727</x:v>
      </x:c>
      <x:c r="K250" s="10" t="n">
        <x:v>778.570007324</x:v>
      </x:c>
      <x:c r="L250" s="11" t="n">
        <x:f>G250*K250/J250</x:f>
        <x:v>3372.715700407064</x:v>
      </x:c>
      <x:c r="M250" s="2" t="str">
        <x:v>written off ($0 rule)</x:v>
      </x:c>
      <x:c r="N250" s="8" t="d">
        <x:v>2018-09-11T00:00:00.000Z</x:v>
      </x:c>
      <x:c r="O250" s="11" t="n">
        <x:f>I250-L250</x:f>
        <x:v>-3372.715700407064</x:v>
      </x:c>
    </x:row>
    <x:row r="251" ht="22" customHeight="1">
      <x:c r="A251" s="8" t="d">
        <x:v>2018-05-01T00:00:00.000Z</x:v>
      </x:c>
      <x:c r="B251" s="8" t="d">
        <x:v>2018-04-30T00:00:00.000Z</x:v>
      </x:c>
      <x:c r="C251" s="2" t="str">
        <x:v>ANDV-201809</x:v>
      </x:c>
      <x:c r="D251" s="9" t="n">
        <x:v>0.3754972156</x:v>
      </x:c>
      <x:c r="E251" s="10" t="n">
        <x:v>136.0836438261</x:v>
      </x:c>
      <x:c r="F251" s="10" t="n">
        <x:v>0</x:v>
      </x:c>
      <x:c r="G251" s="11" t="n">
        <x:f>'Summary'!$C$18</x:f>
        <x:v>1000</x:v>
      </x:c>
      <x:c r="H251" s="12" t="n">
        <x:f>G251/E251</x:f>
        <x:v>7.348421690397198</x:v>
      </x:c>
      <x:c r="I251" s="11" t="n">
        <x:f>H251*F251</x:f>
        <x:v>0</x:v>
      </x:c>
      <x:c r="J251" s="10" t="n">
        <x:v>232.0042505912</x:v>
      </x:c>
      <x:c r="K251" s="10" t="n">
        <x:v>778.570007324</x:v>
      </x:c>
      <x:c r="L251" s="11" t="n">
        <x:f>G251*K251/J251</x:f>
        <x:v>3355.843719845758</x:v>
      </x:c>
      <x:c r="M251" s="2" t="str">
        <x:v>written off ($0 rule)</x:v>
      </x:c>
      <x:c r="N251" s="8" t="d">
        <x:v>2018-09-28T00:00:00.000Z</x:v>
      </x:c>
      <x:c r="O251" s="11" t="n">
        <x:f>I251-L251</x:f>
        <x:v>-3355.843719845758</x:v>
      </x:c>
    </x:row>
    <x:row r="252" ht="22" customHeight="1">
      <x:c r="A252" s="8" t="d">
        <x:v>2018-06-01T00:00:00.000Z</x:v>
      </x:c>
      <x:c r="B252" s="8" t="d">
        <x:v>2018-05-31T00:00:00.000Z</x:v>
      </x:c>
      <x:c r="C252" s="2" t="str">
        <x:v>TRIP</x:v>
      </x:c>
      <x:c r="D252" s="9" t="n">
        <x:v>0.3933725799</x:v>
      </x:c>
      <x:c r="E252" s="10" t="n">
        <x:v>46.6471781203</x:v>
      </x:c>
      <x:c r="F252" s="10" t="n">
        <x:v>8.6800003052</x:v>
      </x:c>
      <x:c r="G252" s="11" t="n">
        <x:f>'Summary'!$C$18</x:f>
        <x:v>1000</x:v>
      </x:c>
      <x:c r="H252" s="12" t="n">
        <x:f>G252/E252</x:f>
        <x:v>21.437523989576945</x:v>
      </x:c>
      <x:c r="I252" s="11" t="n">
        <x:f>H252*F252</x:f>
        <x:v>186.0777147722602</x:v>
      </x:c>
      <x:c r="J252" s="10" t="n">
        <x:v>239.5129416854</x:v>
      </x:c>
      <x:c r="K252" s="10" t="n">
        <x:v>778.570007324</x:v>
      </x:c>
      <x:c r="L252" s="11" t="n">
        <x:f>G252*K252/J252</x:f>
        <x:v>3250.638574456035</x:v>
      </x:c>
      <x:c r="M252" s="2" t="str">
        <x:v>current price</x:v>
      </x:c>
      <x:c r="N252" s="8" t="d">
        <x:v>2026-10-09T00:00:00.000Z</x:v>
      </x:c>
      <x:c r="O252" s="11" t="n">
        <x:f>I252-L252</x:f>
        <x:v>-3064.5608596837747</x:v>
      </x:c>
    </x:row>
    <x:row r="253" ht="22" customHeight="1">
      <x:c r="A253" s="8" t="d">
        <x:v>2018-07-02T00:00:00.000Z</x:v>
      </x:c>
      <x:c r="B253" s="8" t="d">
        <x:v>2018-06-29T00:00:00.000Z</x:v>
      </x:c>
      <x:c r="C253" s="2" t="str">
        <x:v>WBD</x:v>
      </x:c>
      <x:c r="D253" s="9" t="n">
        <x:v>0.303935505</x:v>
      </x:c>
      <x:c r="E253" s="10" t="n">
        <x:v>27.4799995422</x:v>
      </x:c>
      <x:c r="F253" s="10" t="n">
        <x:v>0</x:v>
      </x:c>
      <x:c r="G253" s="11" t="n">
        <x:f>'Summary'!$C$18</x:f>
        <x:v>1000</x:v>
      </x:c>
      <x:c r="H253" s="12" t="n">
        <x:f>G253/E253</x:f>
        <x:v>36.390102498522154</x:v>
      </x:c>
      <x:c r="I253" s="11" t="n">
        <x:f>H253*F253</x:f>
        <x:v>0</x:v>
      </x:c>
      <x:c r="J253" s="10" t="n">
        <x:v>238.0272071312</x:v>
      </x:c>
      <x:c r="K253" s="10" t="n">
        <x:v>778.570007324</x:v>
      </x:c>
      <x:c r="L253" s="11" t="n">
        <x:f>G253*K253/J253</x:f>
        <x:v>3270.9286333593545</x:v>
      </x:c>
      <x:c r="M253" s="2" t="str">
        <x:v>written off ($0 rule)</x:v>
      </x:c>
      <x:c r="N253" s="8" t="d">
        <x:v>2026-10-06T00:00:00.000Z</x:v>
      </x:c>
      <x:c r="O253" s="11" t="n">
        <x:f>I253-L253</x:f>
        <x:v>-3270.9286333593545</x:v>
      </x:c>
    </x:row>
    <x:row r="254" ht="22" customHeight="1">
      <x:c r="A254" s="8" t="d">
        <x:v>2018-08-01T00:00:00.000Z</x:v>
      </x:c>
      <x:c r="B254" s="8" t="d">
        <x:v>2018-07-31T00:00:00.000Z</x:v>
      </x:c>
      <x:c r="C254" s="2" t="str">
        <x:v>HWM</x:v>
      </x:c>
      <x:c r="D254" s="9" t="n">
        <x:v>0.2751322403</x:v>
      </x:c>
      <x:c r="E254" s="10" t="n">
        <x:v>18.6539176246</x:v>
      </x:c>
      <x:c r="F254" s="10" t="n">
        <x:v>225.259994507</x:v>
      </x:c>
      <x:c r="G254" s="11" t="n">
        <x:f>'Summary'!$C$18</x:f>
        <x:v>1000</x:v>
      </x:c>
      <x:c r="H254" s="12" t="n">
        <x:f>G254/E254</x:f>
        <x:v>53.60804202765655</x:v>
      </x:c>
      <x:c r="I254" s="11" t="n">
        <x:f>H254*F254</x:f>
        <x:v>12075.74725268094</x:v>
      </x:c>
      <x:c r="J254" s="10" t="n">
        <x:v>248.6695760098</x:v>
      </x:c>
      <x:c r="K254" s="10" t="n">
        <x:v>778.570007324</x:v>
      </x:c>
      <x:c r="L254" s="11" t="n">
        <x:f>G254*K254/J254</x:f>
        <x:v>3130.941950427087</x:v>
      </x:c>
      <x:c r="M254" s="2" t="str">
        <x:v>current price</x:v>
      </x:c>
      <x:c r="N254" s="8" t="d">
        <x:v>2026-10-09T00:00:00.000Z</x:v>
      </x:c>
      <x:c r="O254" s="11" t="n">
        <x:f>I254-L254</x:f>
        <x:v>8944.805302253853</x:v>
      </x:c>
    </x:row>
    <x:row r="255" ht="22" customHeight="1">
      <x:c r="A255" s="8" t="d">
        <x:v>2018-09-04T00:00:00.000Z</x:v>
      </x:c>
      <x:c r="B255" s="8" t="d">
        <x:v>2018-08-31T00:00:00.000Z</x:v>
      </x:c>
      <x:c r="C255" s="2" t="str">
        <x:v>AMD</x:v>
      </x:c>
      <x:c r="D255" s="9" t="n">
        <x:v>0.373158766</x:v>
      </x:c>
      <x:c r="E255" s="10" t="n">
        <x:v>25.6200008392</x:v>
      </x:c>
      <x:c r="F255" s="10" t="n">
        <x:v>608.099975586</x:v>
      </x:c>
      <x:c r="G255" s="11" t="n">
        <x:f>'Summary'!$C$18</x:f>
        <x:v>1000</x:v>
      </x:c>
      <x:c r="H255" s="12" t="n">
        <x:f>G255/E255</x:f>
        <x:v>39.03200496660193</x:v>
      </x:c>
      <x:c r="I255" s="11" t="n">
        <x:f>H255*F255</x:f>
        <x:v>23735.361267263266</x:v>
      </x:c>
      <x:c r="J255" s="10" t="n">
        <x:v>255.9823470127</x:v>
      </x:c>
      <x:c r="K255" s="10" t="n">
        <x:v>778.570007324</x:v>
      </x:c>
      <x:c r="L255" s="11" t="n">
        <x:f>G255*K255/J255</x:f>
        <x:v>3041.4988236879203</x:v>
      </x:c>
      <x:c r="M255" s="2" t="str">
        <x:v>current price</x:v>
      </x:c>
      <x:c r="N255" s="8" t="d">
        <x:v>2026-10-09T00:00:00.000Z</x:v>
      </x:c>
      <x:c r="O255" s="11" t="n">
        <x:f>I255-L255</x:f>
        <x:v>20693.862443575345</x:v>
      </x:c>
    </x:row>
    <x:row r="256" ht="22" customHeight="1">
      <x:c r="A256" s="8" t="d">
        <x:v>2018-10-01T00:00:00.000Z</x:v>
      </x:c>
      <x:c r="B256" s="8" t="d">
        <x:v>2018-09-28T00:00:00.000Z</x:v>
      </x:c>
      <x:c r="C256" s="2" t="str">
        <x:v>AMD</x:v>
      </x:c>
      <x:c r="D256" s="9" t="n">
        <x:v>0.2272546403</x:v>
      </x:c>
      <x:c r="E256" s="10" t="n">
        <x:v>30.6900005341</x:v>
      </x:c>
      <x:c r="F256" s="10" t="n">
        <x:v>608.099975586</x:v>
      </x:c>
      <x:c r="G256" s="11" t="n">
        <x:f>'Summary'!$C$18</x:f>
        <x:v>1000</x:v>
      </x:c>
      <x:c r="H256" s="12" t="n">
        <x:f>G256/E256</x:f>
        <x:v>32.58390298458578</x:v>
      </x:c>
      <x:c r="I256" s="11" t="n">
        <x:f>H256*F256</x:f>
        <x:v>19814.270609423205</x:v>
      </x:c>
      <x:c r="J256" s="10" t="n">
        <x:v>259.1550334223</x:v>
      </x:c>
      <x:c r="K256" s="10" t="n">
        <x:v>778.570007324</x:v>
      </x:c>
      <x:c r="L256" s="11" t="n">
        <x:f>G256*K256/J256</x:f>
        <x:v>3004.2634983488806</x:v>
      </x:c>
      <x:c r="M256" s="2" t="str">
        <x:v>current price</x:v>
      </x:c>
      <x:c r="N256" s="8" t="d">
        <x:v>2026-10-09T00:00:00.000Z</x:v>
      </x:c>
      <x:c r="O256" s="11" t="n">
        <x:f>I256-L256</x:f>
        <x:v>16810.007111074323</x:v>
      </x:c>
    </x:row>
    <x:row r="257" ht="22" customHeight="1">
      <x:c r="A257" s="8" t="d">
        <x:v>2018-11-01T00:00:00.000Z</x:v>
      </x:c>
      <x:c r="B257" s="8" t="d">
        <x:v>2018-10-31T00:00:00.000Z</x:v>
      </x:c>
      <x:c r="C257" s="2" t="str">
        <x:v>RHT</x:v>
      </x:c>
      <x:c r="D257" s="9" t="n">
        <x:v>0.2594658057</x:v>
      </x:c>
      <x:c r="E257" s="10" t="n">
        <x:v>171.2</x:v>
      </x:c>
      <x:c r="F257" s="10" t="n">
        <x:v>0</x:v>
      </x:c>
      <x:c r="G257" s="11" t="n">
        <x:f>'Summary'!$C$18</x:f>
        <x:v>1000</x:v>
      </x:c>
      <x:c r="H257" s="12" t="n">
        <x:f>G257/E257</x:f>
        <x:v>5.841121495327103</x:v>
      </x:c>
      <x:c r="I257" s="11" t="n">
        <x:f>H257*F257</x:f>
        <x:v>0</x:v>
      </x:c>
      <x:c r="J257" s="10" t="n">
        <x:v>240.9589270775</x:v>
      </x:c>
      <x:c r="K257" s="10" t="n">
        <x:v>778.570007324</x:v>
      </x:c>
      <x:c r="L257" s="11" t="n">
        <x:f>G257*K257/J257</x:f>
        <x:v>3231.131615528763</x:v>
      </x:c>
      <x:c r="M257" s="2" t="str">
        <x:v>written off ($0 rule)</x:v>
      </x:c>
      <x:c r="N257" s="8" t="d">
        <x:v>2019-07-08T00:00:00.000Z</x:v>
      </x:c>
      <x:c r="O257" s="11" t="n">
        <x:f>I257-L257</x:f>
        <x:v>-3231.131615528763</x:v>
      </x:c>
    </x:row>
    <x:row r="258" ht="22" customHeight="1">
      <x:c r="A258" s="8" t="d">
        <x:v>2018-12-03T00:00:00.000Z</x:v>
      </x:c>
      <x:c r="B258" s="8" t="d">
        <x:v>2018-11-30T00:00:00.000Z</x:v>
      </x:c>
      <x:c r="C258" s="2" t="str">
        <x:v>NWL</x:v>
      </x:c>
      <x:c r="D258" s="9" t="n">
        <x:v>0.4880662437</x:v>
      </x:c>
      <x:c r="E258" s="10" t="n">
        <x:v>16.3783286074</x:v>
      </x:c>
      <x:c r="F258" s="10" t="n">
        <x:v>5.6399998665</x:v>
      </x:c>
      <x:c r="G258" s="11" t="n">
        <x:f>'Summary'!$C$18</x:f>
        <x:v>1000</x:v>
      </x:c>
      <x:c r="H258" s="12" t="n">
        <x:f>G258/E258</x:f>
        <x:v>61.05629114976869</x:v>
      </x:c>
      <x:c r="I258" s="11" t="n">
        <x:f>H258*F258</x:f>
        <x:v>344.3574739336806</x:v>
      </x:c>
      <x:c r="J258" s="10" t="n">
        <x:v>248.6596696227</x:v>
      </x:c>
      <x:c r="K258" s="10" t="n">
        <x:v>778.570007324</x:v>
      </x:c>
      <x:c r="L258" s="11" t="n">
        <x:f>G258*K258/J258</x:f>
        <x:v>3131.066684458125</x:v>
      </x:c>
      <x:c r="M258" s="2" t="str">
        <x:v>current price</x:v>
      </x:c>
      <x:c r="N258" s="8" t="d">
        <x:v>2026-10-09T00:00:00.000Z</x:v>
      </x:c>
      <x:c r="O258" s="11" t="n">
        <x:f>I258-L258</x:f>
        <x:v>-2786.7092105244446</x:v>
      </x:c>
    </x:row>
    <x:row r="259" ht="22" customHeight="1">
      <x:c r="A259" s="8" t="d">
        <x:v>2019-01-02T00:00:00.000Z</x:v>
      </x:c>
      <x:c r="B259" s="8" t="d">
        <x:v>2018-12-31T00:00:00.000Z</x:v>
      </x:c>
      <x:c r="C259" s="2" t="str">
        <x:v>AVGO</x:v>
      </x:c>
      <x:c r="D259" s="9" t="n">
        <x:v>0.082344925</x:v>
      </x:c>
      <x:c r="E259" s="10" t="n">
        <x:v>20.5042903027</x:v>
      </x:c>
      <x:c r="F259" s="10" t="n">
        <x:v>361.540008545</x:v>
      </x:c>
      <x:c r="G259" s="11" t="n">
        <x:f>'Summary'!$C$18</x:f>
        <x:v>1000</x:v>
      </x:c>
      <x:c r="H259" s="12" t="n">
        <x:f>G259/E259</x:f>
        <x:v>48.770281011302316</x:v>
      </x:c>
      <x:c r="I259" s="11" t="n">
        <x:f>H259*F259</x:f>
        <x:v>17632.40781356829</x:v>
      </x:c>
      <x:c r="J259" s="10" t="n">
        <x:v>219.5036646254</x:v>
      </x:c>
      <x:c r="K259" s="10" t="n">
        <x:v>778.570007324</x:v>
      </x:c>
      <x:c r="L259" s="11" t="n">
        <x:f>G259*K259/J259</x:f>
        <x:v>3546.9567610759027</x:v>
      </x:c>
      <x:c r="M259" s="2" t="str">
        <x:v>current price</x:v>
      </x:c>
      <x:c r="N259" s="8" t="d">
        <x:v>2026-10-09T00:00:00.000Z</x:v>
      </x:c>
      <x:c r="O259" s="11" t="n">
        <x:f>I259-L259</x:f>
        <x:v>14085.451052492388</x:v>
      </x:c>
    </x:row>
    <x:row r="260" ht="22" customHeight="1">
      <x:c r="A260" s="8" t="d">
        <x:v>2019-02-01T00:00:00.000Z</x:v>
      </x:c>
      <x:c r="B260" s="8" t="d">
        <x:v>2019-01-31T00:00:00.000Z</x:v>
      </x:c>
      <x:c r="C260" s="2" t="str">
        <x:v>XRX</x:v>
      </x:c>
      <x:c r="D260" s="9" t="n">
        <x:v>0.4276315161</x:v>
      </x:c>
      <x:c r="E260" s="10" t="n">
        <x:v>18.5607474721</x:v>
      </x:c>
      <x:c r="F260" s="10" t="n">
        <x:v>2.75</x:v>
      </x:c>
      <x:c r="G260" s="11" t="n">
        <x:f>'Summary'!$C$18</x:f>
        <x:v>1000</x:v>
      </x:c>
      <x:c r="H260" s="12" t="n">
        <x:f>G260/E260</x:f>
        <x:v>53.877140535593846</x:v>
      </x:c>
      <x:c r="I260" s="11" t="n">
        <x:f>H260*F260</x:f>
        <x:v>148.16213647288308</x:v>
      </x:c>
      <x:c r="J260" s="10" t="n">
        <x:v>241.0720980909</x:v>
      </x:c>
      <x:c r="K260" s="10" t="n">
        <x:v>778.570007324</x:v>
      </x:c>
      <x:c r="L260" s="11" t="n">
        <x:f>G260*K260/J260</x:f>
        <x:v>3229.6147645856054</x:v>
      </x:c>
      <x:c r="M260" s="2" t="str">
        <x:v>current price</x:v>
      </x:c>
      <x:c r="N260" s="8" t="d">
        <x:v>2026-10-09T00:00:00.000Z</x:v>
      </x:c>
      <x:c r="O260" s="11" t="n">
        <x:f>I260-L260</x:f>
        <x:v>-3081.4526281127223</x:v>
      </x:c>
    </x:row>
    <x:row r="261" ht="22" customHeight="1">
      <x:c r="A261" s="8" t="d">
        <x:v>2019-03-01T00:00:00.000Z</x:v>
      </x:c>
      <x:c r="B261" s="8" t="d">
        <x:v>2019-02-28T00:00:00.000Z</x:v>
      </x:c>
      <x:c r="C261" s="2" t="str">
        <x:v>COTY</x:v>
      </x:c>
      <x:c r="D261" s="9" t="n">
        <x:v>0.4335538374</x:v>
      </x:c>
      <x:c r="E261" s="10" t="n">
        <x:v>10.60819816</x:v>
      </x:c>
      <x:c r="F261" s="10" t="n">
        <x:v>2.8499999046</x:v>
      </x:c>
      <x:c r="G261" s="11" t="n">
        <x:f>'Summary'!$C$18</x:f>
        <x:v>1000</x:v>
      </x:c>
      <x:c r="H261" s="12" t="n">
        <x:f>G261/E261</x:f>
        <x:v>94.26671569641945</x:v>
      </x:c>
      <x:c r="I261" s="11" t="n">
        <x:f>H261*F261</x:f>
        <x:v>268.6601307417508</x:v>
      </x:c>
      <x:c r="J261" s="10" t="n">
        <x:v>250.2545300933</x:v>
      </x:c>
      <x:c r="K261" s="10" t="n">
        <x:v>778.570007324</x:v>
      </x:c>
      <x:c r="L261" s="11" t="n">
        <x:f>G261*K261/J261</x:f>
        <x:v>3111.1125422334344</x:v>
      </x:c>
      <x:c r="M261" s="2" t="str">
        <x:v>current price</x:v>
      </x:c>
      <x:c r="N261" s="8" t="d">
        <x:v>2026-10-09T00:00:00.000Z</x:v>
      </x:c>
      <x:c r="O261" s="11" t="n">
        <x:f>I261-L261</x:f>
        <x:v>-2842.4524114916835</x:v>
      </x:c>
    </x:row>
    <x:row r="262" ht="22" customHeight="1">
      <x:c r="A262" s="8" t="d">
        <x:v>2019-04-01T00:00:00.000Z</x:v>
      </x:c>
      <x:c r="B262" s="8" t="d">
        <x:v>2019-03-29T00:00:00.000Z</x:v>
      </x:c>
      <x:c r="C262" s="2" t="str">
        <x:v>XRAY</x:v>
      </x:c>
      <x:c r="D262" s="9" t="n">
        <x:v>0.1896269748</x:v>
      </x:c>
      <x:c r="E262" s="10" t="n">
        <x:v>43.9463065618</x:v>
      </x:c>
      <x:c r="F262" s="10" t="n">
        <x:v>8.8299999237</x:v>
      </x:c>
      <x:c r="G262" s="11" t="n">
        <x:f>'Summary'!$C$18</x:f>
        <x:v>1000</x:v>
      </x:c>
      <x:c r="H262" s="12" t="n">
        <x:f>G262/E262</x:f>
        <x:v>22.755040826781165</x:v>
      </x:c>
      <x:c r="I262" s="11" t="n">
        <x:f>H262*F262</x:f>
        <x:v>200.9270087642681</x:v>
      </x:c>
      <x:c r="J262" s="10" t="n">
        <x:v>255.1750544779</x:v>
      </x:c>
      <x:c r="K262" s="10" t="n">
        <x:v>778.570007324</x:v>
      </x:c>
      <x:c r="L262" s="11" t="n">
        <x:f>G262*K262/J262</x:f>
        <x:v>3051.121156482127</x:v>
      </x:c>
      <x:c r="M262" s="2" t="str">
        <x:v>current price</x:v>
      </x:c>
      <x:c r="N262" s="8" t="d">
        <x:v>2026-10-09T00:00:00.000Z</x:v>
      </x:c>
      <x:c r="O262" s="11" t="n">
        <x:f>I262-L262</x:f>
        <x:v>-2850.194147717859</x:v>
      </x:c>
    </x:row>
    <x:row r="263" ht="22" customHeight="1">
      <x:c r="A263" s="8" t="d">
        <x:v>2019-05-01T00:00:00.000Z</x:v>
      </x:c>
      <x:c r="B263" s="8" t="d">
        <x:v>2019-04-30T00:00:00.000Z</x:v>
      </x:c>
      <x:c r="C263" s="2" t="str">
        <x:v>APC-201908</x:v>
      </x:c>
      <x:c r="D263" s="9" t="n">
        <x:v>0.6018029903</x:v>
      </x:c>
      <x:c r="E263" s="10" t="n">
        <x:v>72.3489110889</x:v>
      </x:c>
      <x:c r="F263" s="10" t="n">
        <x:v>0</x:v>
      </x:c>
      <x:c r="G263" s="11" t="n">
        <x:f>'Summary'!$C$18</x:f>
        <x:v>1000</x:v>
      </x:c>
      <x:c r="H263" s="12" t="n">
        <x:f>G263/E263</x:f>
        <x:v>13.821908097154806</x:v>
      </x:c>
      <x:c r="I263" s="11" t="n">
        <x:f>H263*F263</x:f>
        <x:v>0</x:v>
      </x:c>
      <x:c r="J263" s="10" t="n">
        <x:v>264.155915499</x:v>
      </x:c>
      <x:c r="K263" s="10" t="n">
        <x:v>778.570007324</x:v>
      </x:c>
      <x:c r="L263" s="11" t="n">
        <x:f>G263*K263/J263</x:f>
        <x:v>2947.3881205849707</x:v>
      </x:c>
      <x:c r="M263" s="2" t="str">
        <x:v>written off ($0 rule)</x:v>
      </x:c>
      <x:c r="N263" s="8" t="d">
        <x:v>2019-08-08T00:00:00.000Z</x:v>
      </x:c>
      <x:c r="O263" s="11" t="n">
        <x:f>I263-L263</x:f>
        <x:v>-2947.3881205849707</x:v>
      </x:c>
    </x:row>
    <x:row r="264" ht="22" customHeight="1">
      <x:c r="A264" s="8" t="d">
        <x:v>2019-06-03T00:00:00.000Z</x:v>
      </x:c>
      <x:c r="B264" s="8" t="d">
        <x:v>2019-05-31T00:00:00.000Z</x:v>
      </x:c>
      <x:c r="C264" s="2" t="str">
        <x:v>TSS</x:v>
      </x:c>
      <x:c r="D264" s="9" t="n">
        <x:v>0.2082355243</x:v>
      </x:c>
      <x:c r="E264" s="10" t="n">
        <x:v>123.4138830765</x:v>
      </x:c>
      <x:c r="F264" s="10" t="n">
        <x:v>0</x:v>
      </x:c>
      <x:c r="G264" s="11" t="n">
        <x:f>'Summary'!$C$18</x:f>
        <x:v>1000</x:v>
      </x:c>
      <x:c r="H264" s="12" t="n">
        <x:f>G264/E264</x:f>
        <x:v>8.102816110081672</x:v>
      </x:c>
      <x:c r="I264" s="11" t="n">
        <x:f>H264*F264</x:f>
        <x:v>0</x:v>
      </x:c>
      <x:c r="J264" s="10" t="n">
        <x:v>246.7588360141</x:v>
      </x:c>
      <x:c r="K264" s="10" t="n">
        <x:v>778.570007324</x:v>
      </x:c>
      <x:c r="L264" s="11" t="n">
        <x:f>G264*K264/J264</x:f>
        <x:v>3155.1859293075604</x:v>
      </x:c>
      <x:c r="M264" s="2" t="str">
        <x:v>written off ($0 rule)</x:v>
      </x:c>
      <x:c r="N264" s="8" t="d">
        <x:v>2019-09-17T00:00:00.000Z</x:v>
      </x:c>
      <x:c r="O264" s="11" t="n">
        <x:f>I264-L264</x:f>
        <x:v>-3155.1859293075604</x:v>
      </x:c>
    </x:row>
    <x:row r="265" ht="22" customHeight="1">
      <x:c r="A265" s="8" t="d">
        <x:v>2019-07-01T00:00:00.000Z</x:v>
      </x:c>
      <x:c r="B265" s="8" t="d">
        <x:v>2019-06-28T00:00:00.000Z</x:v>
      </x:c>
      <x:c r="C265" s="2" t="str">
        <x:v>AGN</x:v>
      </x:c>
      <x:c r="D265" s="9" t="n">
        <x:v>0.3733902059</x:v>
      </x:c>
      <x:c r="E265" s="10" t="n">
        <x:v>165.676708356</x:v>
      </x:c>
      <x:c r="F265" s="10" t="n">
        <x:v>0</x:v>
      </x:c>
      <x:c r="G265" s="11" t="n">
        <x:f>'Summary'!$C$18</x:f>
        <x:v>1000</x:v>
      </x:c>
      <x:c r="H265" s="12" t="n">
        <x:f>G265/E265</x:f>
        <x:v>6.035851447816291</x:v>
      </x:c>
      <x:c r="I265" s="11" t="n">
        <x:f>H265*F265</x:f>
        <x:v>0</x:v>
      </x:c>
      <x:c r="J265" s="10" t="n">
        <x:v>267.2059559048</x:v>
      </x:c>
      <x:c r="K265" s="10" t="n">
        <x:v>778.570007324</x:v>
      </x:c>
      <x:c r="L265" s="11" t="n">
        <x:f>G265*K265/J265</x:f>
        <x:v>2913.7449600913405</x:v>
      </x:c>
      <x:c r="M265" s="2" t="str">
        <x:v>written off ($0 rule)</x:v>
      </x:c>
      <x:c r="N265" s="8" t="d">
        <x:v>2020-05-08T00:00:00.000Z</x:v>
      </x:c>
      <x:c r="O265" s="11" t="n">
        <x:f>I265-L265</x:f>
        <x:v>-2913.7449600913405</x:v>
      </x:c>
    </x:row>
    <x:row r="266" ht="22" customHeight="1">
      <x:c r="A266" s="8" t="d">
        <x:v>2019-08-01T00:00:00.000Z</x:v>
      </x:c>
      <x:c r="B266" s="8" t="d">
        <x:v>2019-07-31T00:00:00.000Z</x:v>
      </x:c>
      <x:c r="C266" s="2" t="str">
        <x:v>TWTR</x:v>
      </x:c>
      <x:c r="D266" s="9" t="n">
        <x:v>0.2123209169</x:v>
      </x:c>
      <x:c r="E266" s="10" t="n">
        <x:v>42.54</x:v>
      </x:c>
      <x:c r="F266" s="10" t="n">
        <x:v>0</x:v>
      </x:c>
      <x:c r="G266" s="11" t="n">
        <x:f>'Summary'!$C$18</x:f>
        <x:v>1000</x:v>
      </x:c>
      <x:c r="H266" s="12" t="n">
        <x:f>G266/E266</x:f>
        <x:v>23.507287259050305</x:v>
      </x:c>
      <x:c r="I266" s="11" t="n">
        <x:f>H266*F266</x:f>
        <x:v>0</x:v>
      </x:c>
      <x:c r="J266" s="10" t="n">
        <x:v>268.0345694738</x:v>
      </x:c>
      <x:c r="K266" s="10" t="n">
        <x:v>778.570007324</x:v>
      </x:c>
      <x:c r="L266" s="11" t="n">
        <x:f>G266*K266/J266</x:f>
        <x:v>2904.7372838976435</x:v>
      </x:c>
      <x:c r="M266" s="2" t="str">
        <x:v>written off ($0 rule)</x:v>
      </x:c>
      <x:c r="N266" s="8" t="d">
        <x:v>2022-10-27T00:00:00.000Z</x:v>
      </x:c>
      <x:c r="O266" s="11" t="n">
        <x:f>I266-L266</x:f>
        <x:v>-2904.7372838976435</x:v>
      </x:c>
    </x:row>
    <x:row r="267" ht="22" customHeight="1">
      <x:c r="A267" s="8" t="d">
        <x:v>2019-09-03T00:00:00.000Z</x:v>
      </x:c>
      <x:c r="B267" s="8" t="d">
        <x:v>2019-08-30T00:00:00.000Z</x:v>
      </x:c>
      <x:c r="C267" s="2" t="str">
        <x:v>TGT</x:v>
      </x:c>
      <x:c r="D267" s="9" t="n">
        <x:v>0.2484054819</x:v>
      </x:c>
      <x:c r="E267" s="10" t="n">
        <x:v>88.1248684129</x:v>
      </x:c>
      <x:c r="F267" s="10" t="n">
        <x:v>153.63999939</x:v>
      </x:c>
      <x:c r="G267" s="11" t="n">
        <x:f>'Summary'!$C$18</x:f>
        <x:v>1000</x:v>
      </x:c>
      <x:c r="H267" s="12" t="n">
        <x:f>G267/E267</x:f>
        <x:v>11.347534674487148</x:v>
      </x:c>
      <x:c r="I267" s="11" t="n">
        <x:f>H267*F267</x:f>
        <x:v>1743.4352204662096</x:v>
      </x:c>
      <x:c r="J267" s="10" t="n">
        <x:v>261.7029745221</x:v>
      </x:c>
      <x:c r="K267" s="10" t="n">
        <x:v>778.570007324</x:v>
      </x:c>
      <x:c r="L267" s="11" t="n">
        <x:f>G267*K267/J267</x:f>
        <x:v>2975.013978139756</x:v>
      </x:c>
      <x:c r="M267" s="2" t="str">
        <x:v>current price</x:v>
      </x:c>
      <x:c r="N267" s="8" t="d">
        <x:v>2026-10-09T00:00:00.000Z</x:v>
      </x:c>
      <x:c r="O267" s="11" t="n">
        <x:f>I267-L267</x:f>
        <x:v>-1231.5787576735465</x:v>
      </x:c>
    </x:row>
    <x:row r="268" ht="22" customHeight="1">
      <x:c r="A268" s="8" t="d">
        <x:v>2019-10-01T00:00:00.000Z</x:v>
      </x:c>
      <x:c r="B268" s="8" t="d">
        <x:v>2019-09-30T00:00:00.000Z</x:v>
      </x:c>
      <x:c r="C268" s="2" t="str">
        <x:v>TPR</x:v>
      </x:c>
      <x:c r="D268" s="9" t="n">
        <x:v>0.281659452</x:v>
      </x:c>
      <x:c r="E268" s="10" t="n">
        <x:v>22.2758672324</x:v>
      </x:c>
      <x:c r="F268" s="10" t="n">
        <x:v>116.239997864</x:v>
      </x:c>
      <x:c r="G268" s="11" t="n">
        <x:f>'Summary'!$C$18</x:f>
        <x:v>1000</x:v>
      </x:c>
      <x:c r="H268" s="12" t="n">
        <x:f>G268/E268</x:f>
        <x:v>44.8916304612155</x:v>
      </x:c>
      <x:c r="I268" s="11" t="n">
        <x:f>H268*F268</x:f>
        <x:v>5218.203028923167</x:v>
      </x:c>
      <x:c r="J268" s="10" t="n">
        <x:v>269.3990160959</x:v>
      </x:c>
      <x:c r="K268" s="10" t="n">
        <x:v>778.570007324</x:v>
      </x:c>
      <x:c r="L268" s="11" t="n">
        <x:f>G268*K268/J268</x:f>
        <x:v>2890.0254299623966</x:v>
      </x:c>
      <x:c r="M268" s="2" t="str">
        <x:v>current price</x:v>
      </x:c>
      <x:c r="N268" s="8" t="d">
        <x:v>2026-10-09T00:00:00.000Z</x:v>
      </x:c>
      <x:c r="O268" s="11" t="n">
        <x:f>I268-L268</x:f>
        <x:v>2328.1775989607704</x:v>
      </x:c>
    </x:row>
    <x:row r="269" ht="22" customHeight="1">
      <x:c r="A269" s="8" t="d">
        <x:v>2019-11-01T00:00:00.000Z</x:v>
      </x:c>
      <x:c r="B269" s="8" t="d">
        <x:v>2019-10-31T00:00:00.000Z</x:v>
      </x:c>
      <x:c r="C269" s="2" t="str">
        <x:v>ALGN</x:v>
      </x:c>
      <x:c r="D269" s="9" t="n">
        <x:v>0.3944837267</x:v>
      </x:c>
      <x:c r="E269" s="10" t="n">
        <x:v>254.309997559</x:v>
      </x:c>
      <x:c r="F269" s="10" t="n">
        <x:v>142.710006714</x:v>
      </x:c>
      <x:c r="G269" s="11" t="n">
        <x:f>'Summary'!$C$18</x:f>
        <x:v>1000</x:v>
      </x:c>
      <x:c r="H269" s="12" t="n">
        <x:f>G269/E269</x:f>
        <x:v>3.932208759382335</x:v>
      </x:c>
      <x:c r="I269" s="11" t="n">
        <x:f>H269*F269</x:f>
        <x:v>561.1655384523026</x:v>
      </x:c>
      <x:c r="J269" s="10" t="n">
        <x:v>275.8955944777</x:v>
      </x:c>
      <x:c r="K269" s="10" t="n">
        <x:v>778.570007324</x:v>
      </x:c>
      <x:c r="L269" s="11" t="n">
        <x:f>G269*K269/J269</x:f>
        <x:v>2821.973322183403</x:v>
      </x:c>
      <x:c r="M269" s="2" t="str">
        <x:v>current price</x:v>
      </x:c>
      <x:c r="N269" s="8" t="d">
        <x:v>2026-10-09T00:00:00.000Z</x:v>
      </x:c>
      <x:c r="O269" s="11" t="n">
        <x:f>I269-L269</x:f>
        <x:v>-2260.8077837311002</x:v>
      </x:c>
    </x:row>
    <x:row r="270" ht="22" customHeight="1">
      <x:c r="A270" s="8" t="d">
        <x:v>2019-12-02T00:00:00.000Z</x:v>
      </x:c>
      <x:c r="B270" s="8" t="d">
        <x:v>2019-11-29T00:00:00.000Z</x:v>
      </x:c>
      <x:c r="C270" s="2" t="str">
        <x:v>DXC</x:v>
      </x:c>
      <x:c r="D270" s="9" t="n">
        <x:v>0.349114627</x:v>
      </x:c>
      <x:c r="E270" s="10" t="n">
        <x:v>36.4143647177</x:v>
      </x:c>
      <x:c r="F270" s="10" t="n">
        <x:v>12.3999996185</x:v>
      </x:c>
      <x:c r="G270" s="11" t="n">
        <x:f>'Summary'!$C$18</x:f>
        <x:v>1000</x:v>
      </x:c>
      <x:c r="H270" s="12" t="n">
        <x:f>G270/E270</x:f>
        <x:v>27.4616901256533</x:v>
      </x:c>
      <x:c r="I270" s="11" t="n">
        <x:f>H270*F270</x:f>
        <x:v>340.5249470814661</x:v>
      </x:c>
      <x:c r="J270" s="10" t="n">
        <x:v>284.6451207998</x:v>
      </x:c>
      <x:c r="K270" s="10" t="n">
        <x:v>778.570007324</x:v>
      </x:c>
      <x:c r="L270" s="11" t="n">
        <x:f>G270*K270/J270</x:f>
        <x:v>2735.2304692114963</x:v>
      </x:c>
      <x:c r="M270" s="2" t="str">
        <x:v>current price</x:v>
      </x:c>
      <x:c r="N270" s="8" t="d">
        <x:v>2026-10-09T00:00:00.000Z</x:v>
      </x:c>
      <x:c r="O270" s="11" t="n">
        <x:f>I270-L270</x:f>
        <x:v>-2394.70552213003</x:v>
      </x:c>
    </x:row>
    <x:row r="271" ht="22" customHeight="1">
      <x:c r="A271" s="8" t="d">
        <x:v>2020-01-02T00:00:00.000Z</x:v>
      </x:c>
      <x:c r="B271" s="8" t="d">
        <x:v>2019-12-31T00:00:00.000Z</x:v>
      </x:c>
      <x:c r="C271" s="2" t="str">
        <x:v>WDC</x:v>
      </x:c>
      <x:c r="D271" s="9" t="n">
        <x:v>0.2610768861</x:v>
      </x:c>
      <x:c r="E271" s="10" t="n">
        <x:v>47.3937256388</x:v>
      </x:c>
      <x:c r="F271" s="10" t="n">
        <x:v>397.279998779</x:v>
      </x:c>
      <x:c r="G271" s="11" t="n">
        <x:f>'Summary'!$C$18</x:f>
        <x:v>1000</x:v>
      </x:c>
      <x:c r="H271" s="12" t="n">
        <x:f>G271/E271</x:f>
        <x:v>21.099839409572102</x:v>
      </x:c>
      <x:c r="I271" s="11" t="n">
        <x:f>H271*F271</x:f>
        <x:v>8382.5441748719</x:v>
      </x:c>
      <x:c r="J271" s="10" t="n">
        <x:v>294.1824931597</x:v>
      </x:c>
      <x:c r="K271" s="10" t="n">
        <x:v>778.570007324</x:v>
      </x:c>
      <x:c r="L271" s="11" t="n">
        <x:f>G271*K271/J271</x:f>
        <x:v>2646.554521180651</x:v>
      </x:c>
      <x:c r="M271" s="2" t="str">
        <x:v>current price</x:v>
      </x:c>
      <x:c r="N271" s="8" t="d">
        <x:v>2026-10-09T00:00:00.000Z</x:v>
      </x:c>
      <x:c r="O271" s="11" t="n">
        <x:f>I271-L271</x:f>
        <x:v>5735.989653691249</x:v>
      </x:c>
    </x:row>
    <x:row r="272" ht="22" customHeight="1">
      <x:c r="A272" s="8" t="d">
        <x:v>2020-02-03T00:00:00.000Z</x:v>
      </x:c>
      <x:c r="B272" s="8" t="d">
        <x:v>2020-01-31T00:00:00.000Z</x:v>
      </x:c>
      <x:c r="C272" s="2" t="str">
        <x:v>BBWI</x:v>
      </x:c>
      <x:c r="D272" s="9" t="n">
        <x:v>0.2781456078</x:v>
      </x:c>
      <x:c r="E272" s="10" t="n">
        <x:v>15.3122680837</x:v>
      </x:c>
      <x:c r="F272" s="10" t="n">
        <x:v>17.3400001526</x:v>
      </x:c>
      <x:c r="G272" s="11" t="n">
        <x:f>'Summary'!$C$18</x:f>
        <x:v>1000</x:v>
      </x:c>
      <x:c r="H272" s="12" t="n">
        <x:f>G272/E272</x:f>
        <x:v>65.307111561383</x:v>
      </x:c>
      <x:c r="I272" s="11" t="n">
        <x:f>H272*F272</x:f>
        <x:v>1132.4253244402462</x:v>
      </x:c>
      <x:c r="J272" s="10" t="n">
        <x:v>294.0097312442</x:v>
      </x:c>
      <x:c r="K272" s="10" t="n">
        <x:v>778.570007324</x:v>
      </x:c>
      <x:c r="L272" s="11" t="n">
        <x:f>G272*K272/J272</x:f>
        <x:v>2648.10965279694</x:v>
      </x:c>
      <x:c r="M272" s="2" t="str">
        <x:v>current price</x:v>
      </x:c>
      <x:c r="N272" s="8" t="d">
        <x:v>2026-10-09T00:00:00.000Z</x:v>
      </x:c>
      <x:c r="O272" s="11" t="n">
        <x:f>I272-L272</x:f>
        <x:v>-1515.6843283566936</x:v>
      </x:c>
    </x:row>
    <x:row r="273" ht="22" customHeight="1">
      <x:c r="A273" s="8" t="d">
        <x:v>2020-03-02T00:00:00.000Z</x:v>
      </x:c>
      <x:c r="B273" s="8" t="d">
        <x:v>2020-02-28T00:00:00.000Z</x:v>
      </x:c>
      <x:c r="C273" s="2" t="str">
        <x:v>REGN</x:v>
      </x:c>
      <x:c r="D273" s="9" t="n">
        <x:v>0.3155293961</x:v>
      </x:c>
      <x:c r="E273" s="10" t="n">
        <x:v>440.83988884</x:v>
      </x:c>
      <x:c r="F273" s="10" t="n">
        <x:v>746.539978027</x:v>
      </x:c>
      <x:c r="G273" s="11" t="n">
        <x:f>'Summary'!$C$18</x:f>
        <x:v>1000</x:v>
      </x:c>
      <x:c r="H273" s="12" t="n">
        <x:f>G273/E273</x:f>
        <x:v>2.2683972692020697</x:v>
      </x:c>
      <x:c r="I273" s="11" t="n">
        <x:f>H273*F273</x:f>
        <x:v>1693.44924750662</x:v>
      </x:c>
      <x:c r="J273" s="10" t="n">
        <x:v>271.1508822843</x:v>
      </x:c>
      <x:c r="K273" s="10" t="n">
        <x:v>778.570007324</x:v>
      </x:c>
      <x:c r="L273" s="11" t="n">
        <x:f>G273*K273/J273</x:f>
        <x:v>2871.3533983919488</x:v>
      </x:c>
      <x:c r="M273" s="2" t="str">
        <x:v>current price</x:v>
      </x:c>
      <x:c r="N273" s="8" t="d">
        <x:v>2026-10-09T00:00:00.000Z</x:v>
      </x:c>
      <x:c r="O273" s="11" t="n">
        <x:f>I273-L273</x:f>
        <x:v>-1177.9041508853288</x:v>
      </x:c>
    </x:row>
    <x:row r="274" ht="22" customHeight="1">
      <x:c r="A274" s="8" t="d">
        <x:v>2020-04-01T00:00:00.000Z</x:v>
      </x:c>
      <x:c r="B274" s="8" t="d">
        <x:v>2020-03-31T00:00:00.000Z</x:v>
      </x:c>
      <x:c r="C274" s="2" t="str">
        <x:v>CTXS</x:v>
      </x:c>
      <x:c r="D274" s="9" t="n">
        <x:v>0.3734528382</x:v>
      </x:c>
      <x:c r="E274" s="10" t="n">
        <x:v>135.9662857991</x:v>
      </x:c>
      <x:c r="F274" s="10" t="n">
        <x:v>0</x:v>
      </x:c>
      <x:c r="G274" s="11" t="n">
        <x:f>'Summary'!$C$18</x:f>
        <x:v>1000</x:v>
      </x:c>
      <x:c r="H274" s="12" t="n">
        <x:f>G274/E274</x:f>
        <x:v>7.354764411801114</x:v>
      </x:c>
      <x:c r="I274" s="11" t="n">
        <x:f>H274*F274</x:f>
        <x:v>0</x:v>
      </x:c>
      <x:c r="J274" s="10" t="n">
        <x:v>226.8045572048</x:v>
      </x:c>
      <x:c r="K274" s="10" t="n">
        <x:v>778.570007324</x:v>
      </x:c>
      <x:c r="L274" s="11" t="n">
        <x:f>G274*K274/J274</x:f>
        <x:v>3432.779380270418</x:v>
      </x:c>
      <x:c r="M274" s="2" t="str">
        <x:v>written off ($0 rule)</x:v>
      </x:c>
      <x:c r="N274" s="8" t="d">
        <x:v>2022-09-29T00:00:00.000Z</x:v>
      </x:c>
      <x:c r="O274" s="11" t="n">
        <x:f>I274-L274</x:f>
        <x:v>-3432.779380270418</x:v>
      </x:c>
    </x:row>
    <x:row r="275" ht="22" customHeight="1">
      <x:c r="A275" s="8" t="d">
        <x:v>2020-05-01T00:00:00.000Z</x:v>
      </x:c>
      <x:c r="B275" s="8" t="d">
        <x:v>2020-04-30T00:00:00.000Z</x:v>
      </x:c>
      <x:c r="C275" s="2" t="str">
        <x:v>APA</x:v>
      </x:c>
      <x:c r="D275" s="9" t="n">
        <x:v>2.1384391876</x:v>
      </x:c>
      <x:c r="E275" s="10" t="n">
        <x:v>10.5819813761</x:v>
      </x:c>
      <x:c r="F275" s="10" t="n">
        <x:v>45.8800010681</x:v>
      </x:c>
      <x:c r="G275" s="11" t="n">
        <x:f>'Summary'!$C$18</x:f>
        <x:v>1000</x:v>
      </x:c>
      <x:c r="H275" s="12" t="n">
        <x:f>G275/E275</x:f>
        <x:v>94.50026081680282</x:v>
      </x:c>
      <x:c r="I275" s="11" t="n">
        <x:f>H275*F275</x:f>
        <x:v>4335.672067210642</x:v>
      </x:c>
      <x:c r="J275" s="10" t="n">
        <x:v>260.9468859471</x:v>
      </x:c>
      <x:c r="K275" s="10" t="n">
        <x:v>778.570007324</x:v>
      </x:c>
      <x:c r="L275" s="11" t="n">
        <x:f>G275*K275/J275</x:f>
        <x:v>2983.634023829027</x:v>
      </x:c>
      <x:c r="M275" s="2" t="str">
        <x:v>current price</x:v>
      </x:c>
      <x:c r="N275" s="8" t="d">
        <x:v>2026-10-09T00:00:00.000Z</x:v>
      </x:c>
      <x:c r="O275" s="11" t="n">
        <x:f>I275-L275</x:f>
        <x:v>1352.0380433816154</x:v>
      </x:c>
    </x:row>
    <x:row r="276" ht="22" customHeight="1">
      <x:c r="A276" s="8" t="d">
        <x:v>2020-06-01T00:00:00.000Z</x:v>
      </x:c>
      <x:c r="B276" s="8" t="d">
        <x:v>2020-05-29T00:00:00.000Z</x:v>
      </x:c>
      <x:c r="C276" s="2" t="str">
        <x:v>BBWI</x:v>
      </x:c>
      <x:c r="D276" s="9" t="n">
        <x:v>0.3616483983</x:v>
      </x:c>
      <x:c r="E276" s="10" t="n">
        <x:v>11.0094520848</x:v>
      </x:c>
      <x:c r="F276" s="10" t="n">
        <x:v>17.3400001526</x:v>
      </x:c>
      <x:c r="G276" s="11" t="n">
        <x:f>'Summary'!$C$18</x:f>
        <x:v>1000</x:v>
      </x:c>
      <x:c r="H276" s="12" t="n">
        <x:f>G276/E276</x:f>
        <x:v>90.83104157205352</x:v>
      </x:c>
      <x:c r="I276" s="11" t="n">
        <x:f>H276*F276</x:f>
        <x:v>1575.0102747202247</x:v>
      </x:c>
      <x:c r="J276" s="10" t="n">
        <x:v>277.6933613075</x:v>
      </x:c>
      <x:c r="K276" s="10" t="n">
        <x:v>778.570007324</x:v>
      </x:c>
      <x:c r="L276" s="11" t="n">
        <x:f>G276*K276/J276</x:f>
        <x:v>2803.7040700510697</x:v>
      </x:c>
      <x:c r="M276" s="2" t="str">
        <x:v>current price</x:v>
      </x:c>
      <x:c r="N276" s="8" t="d">
        <x:v>2026-10-09T00:00:00.000Z</x:v>
      </x:c>
      <x:c r="O276" s="11" t="n">
        <x:f>I276-L276</x:f>
        <x:v>-1228.693795330845</x:v>
      </x:c>
    </x:row>
    <x:row r="277" ht="22" customHeight="1">
      <x:c r="A277" s="8" t="d">
        <x:v>2020-07-01T00:00:00.000Z</x:v>
      </x:c>
      <x:c r="B277" s="8" t="d">
        <x:v>2020-06-30T00:00:00.000Z</x:v>
      </x:c>
      <x:c r="C277" s="2" t="str">
        <x:v>GAP</x:v>
      </x:c>
      <x:c r="D277" s="9" t="n">
        <x:v>0.417977576</x:v>
      </x:c>
      <x:c r="E277" s="10" t="n">
        <x:v>10.0751841877</x:v>
      </x:c>
      <x:c r="F277" s="10" t="n">
        <x:v>23.2299995422</x:v>
      </x:c>
      <x:c r="G277" s="11" t="n">
        <x:f>'Summary'!$C$18</x:f>
        <x:v>1000</x:v>
      </x:c>
      <x:c r="H277" s="12" t="n">
        <x:f>G277/E277</x:f>
        <x:v>99.25376860314091</x:v>
      </x:c>
      <x:c r="I277" s="11" t="n">
        <x:f>H277*F277</x:f>
        <x:v>2305.664999212588</x:v>
      </x:c>
      <x:c r="J277" s="10" t="n">
        <x:v>284.3812497458</x:v>
      </x:c>
      <x:c r="K277" s="10" t="n">
        <x:v>778.570007324</x:v>
      </x:c>
      <x:c r="L277" s="11" t="n">
        <x:f>G277*K277/J277</x:f>
        <x:v>2737.76842889586</x:v>
      </x:c>
      <x:c r="M277" s="2" t="str">
        <x:v>current price</x:v>
      </x:c>
      <x:c r="N277" s="8" t="d">
        <x:v>2026-10-09T00:00:00.000Z</x:v>
      </x:c>
      <x:c r="O277" s="11" t="n">
        <x:f>I277-L277</x:f>
        <x:v>-432.10342968327177</x:v>
      </x:c>
    </x:row>
    <x:row r="278" ht="22" customHeight="1">
      <x:c r="A278" s="8" t="d">
        <x:v>2020-08-03T00:00:00.000Z</x:v>
      </x:c>
      <x:c r="B278" s="8" t="d">
        <x:v>2020-07-31T00:00:00.000Z</x:v>
      </x:c>
      <x:c r="C278" s="2" t="str">
        <x:v>BBWI</x:v>
      </x:c>
      <x:c r="D278" s="9" t="n">
        <x:v>0.630594657</x:v>
      </x:c>
      <x:c r="E278" s="10" t="n">
        <x:v>16.5107901106</x:v>
      </x:c>
      <x:c r="F278" s="10" t="n">
        <x:v>17.3400001526</x:v>
      </x:c>
      <x:c r="G278" s="11" t="n">
        <x:f>'Summary'!$C$18</x:f>
        <x:v>1000</x:v>
      </x:c>
      <x:c r="H278" s="12" t="n">
        <x:f>G278/E278</x:f>
        <x:v>60.566453410245686</x:v>
      </x:c>
      <x:c r="I278" s="11" t="n">
        <x:f>H278*F278</x:f>
        <x:v>1050.2223113761008</x:v>
      </x:c>
      <x:c r="J278" s="10" t="n">
        <x:v>301.6056200221</x:v>
      </x:c>
      <x:c r="K278" s="10" t="n">
        <x:v>778.570007324</x:v>
      </x:c>
      <x:c r="L278" s="11" t="n">
        <x:f>G278*K278/J278</x:f>
        <x:v>2581.4174393267294</x:v>
      </x:c>
      <x:c r="M278" s="2" t="str">
        <x:v>current price</x:v>
      </x:c>
      <x:c r="N278" s="8" t="d">
        <x:v>2026-10-09T00:00:00.000Z</x:v>
      </x:c>
      <x:c r="O278" s="11" t="n">
        <x:f>I278-L278</x:f>
        <x:v>-1531.1951279506286</x:v>
      </x:c>
    </x:row>
    <x:row r="279" ht="22" customHeight="1">
      <x:c r="A279" s="8" t="d">
        <x:v>2020-09-01T00:00:00.000Z</x:v>
      </x:c>
      <x:c r="B279" s="8" t="d">
        <x:v>2020-08-31T00:00:00.000Z</x:v>
      </x:c>
      <x:c r="C279" s="2" t="str">
        <x:v>RCL</x:v>
      </x:c>
      <x:c r="D279" s="9" t="n">
        <x:v>0.4132621152</x:v>
      </x:c>
      <x:c r="E279" s="10" t="n">
        <x:v>64.7616704444</x:v>
      </x:c>
      <x:c r="F279" s="10" t="n">
        <x:v>282.260009766</x:v>
      </x:c>
      <x:c r="G279" s="11" t="n">
        <x:f>'Summary'!$C$18</x:f>
        <x:v>1000</x:v>
      </x:c>
      <x:c r="H279" s="12" t="n">
        <x:f>G279/E279</x:f>
        <x:v>15.441232339096821</x:v>
      </x:c>
      <x:c r="I279" s="11" t="n">
        <x:f>H279*F279</x:f>
        <x:v>4358.442390832543</x:v>
      </x:c>
      <x:c r="J279" s="10" t="n">
        <x:v>321.7144835963</x:v>
      </x:c>
      <x:c r="K279" s="10" t="n">
        <x:v>778.570007324</x:v>
      </x:c>
      <x:c r="L279" s="11" t="n">
        <x:f>G279*K279/J279</x:f>
        <x:v>2420.0651416769297</x:v>
      </x:c>
      <x:c r="M279" s="2" t="str">
        <x:v>current price</x:v>
      </x:c>
      <x:c r="N279" s="8" t="d">
        <x:v>2026-10-09T00:00:00.000Z</x:v>
      </x:c>
      <x:c r="O279" s="11" t="n">
        <x:f>I279-L279</x:f>
        <x:v>1938.3772491556138</x:v>
      </x:c>
    </x:row>
    <x:row r="280" ht="22" customHeight="1">
      <x:c r="A280" s="8" t="d">
        <x:v>2020-10-01T00:00:00.000Z</x:v>
      </x:c>
      <x:c r="B280" s="8" t="d">
        <x:v>2020-09-30T00:00:00.000Z</x:v>
      </x:c>
      <x:c r="C280" s="2" t="str">
        <x:v>DRI</x:v>
      </x:c>
      <x:c r="D280" s="9" t="n">
        <x:v>0.1623399099</x:v>
      </x:c>
      <x:c r="E280" s="10" t="n">
        <x:v>84.0102310857</x:v>
      </x:c>
      <x:c r="F280" s="10" t="n">
        <x:v>197.660003662</x:v>
      </x:c>
      <x:c r="G280" s="11" t="n">
        <x:f>'Summary'!$C$18</x:f>
        <x:v>1000</x:v>
      </x:c>
      <x:c r="H280" s="12" t="n">
        <x:f>G280/E280</x:f>
        <x:v>11.903312097545431</x:v>
      </x:c>
      <x:c r="I280" s="11" t="n">
        <x:f>H280*F280</x:f>
        <x:v>2352.808712790759</x:v>
      </x:c>
      <x:c r="J280" s="10" t="n">
        <x:v>311.4549840351</x:v>
      </x:c>
      <x:c r="K280" s="10" t="n">
        <x:v>778.570007324</x:v>
      </x:c>
      <x:c r="L280" s="11" t="n">
        <x:f>G280*K280/J280</x:f>
        <x:v>2499.783426924572</x:v>
      </x:c>
      <x:c r="M280" s="2" t="str">
        <x:v>current price</x:v>
      </x:c>
      <x:c r="N280" s="8" t="d">
        <x:v>2026-10-09T00:00:00.000Z</x:v>
      </x:c>
      <x:c r="O280" s="11" t="n">
        <x:f>I280-L280</x:f>
        <x:v>-146.974714133813</x:v>
      </x:c>
    </x:row>
    <x:row r="281" ht="22" customHeight="1">
      <x:c r="A281" s="8" t="d">
        <x:v>2020-11-02T00:00:00.000Z</x:v>
      </x:c>
      <x:c r="B281" s="8" t="d">
        <x:v>2020-10-30T00:00:00.000Z</x:v>
      </x:c>
      <x:c r="C281" s="2" t="str">
        <x:v>TPR</x:v>
      </x:c>
      <x:c r="D281" s="9" t="n">
        <x:v>0.4222648355</x:v>
      </x:c>
      <x:c r="E281" s="10" t="n">
        <x:v>19.7510404547</x:v>
      </x:c>
      <x:c r="F281" s="10" t="n">
        <x:v>116.239997864</x:v>
      </x:c>
      <x:c r="G281" s="11" t="n">
        <x:f>'Summary'!$C$18</x:f>
        <x:v>1000</x:v>
      </x:c>
      <x:c r="H281" s="12" t="n">
        <x:f>G281/E281</x:f>
        <x:v>50.63024412782456</x:v>
      </x:c>
      <x:c r="I281" s="11" t="n">
        <x:f>H281*F281</x:f>
        <x:v>5885.259469272126</x:v>
      </x:c>
      <x:c r="J281" s="10" t="n">
        <x:v>304.546888527</x:v>
      </x:c>
      <x:c r="K281" s="10" t="n">
        <x:v>778.570007324</x:v>
      </x:c>
      <x:c r="L281" s="11" t="n">
        <x:f>G281*K281/J281</x:f>
        <x:v>2556.4864940492566</x:v>
      </x:c>
      <x:c r="M281" s="2" t="str">
        <x:v>current price</x:v>
      </x:c>
      <x:c r="N281" s="8" t="d">
        <x:v>2026-10-09T00:00:00.000Z</x:v>
      </x:c>
      <x:c r="O281" s="11" t="n">
        <x:f>I281-L281</x:f>
        <x:v>3328.7729752228693</x:v>
      </x:c>
    </x:row>
    <x:row r="282" ht="22" customHeight="1">
      <x:c r="A282" s="8" t="d">
        <x:v>2020-12-01T00:00:00.000Z</x:v>
      </x:c>
      <x:c r="B282" s="8" t="d">
        <x:v>2020-11-30T00:00:00.000Z</x:v>
      </x:c>
      <x:c r="C282" s="2" t="str">
        <x:v>OXY</x:v>
      </x:c>
      <x:c r="D282" s="9" t="n">
        <x:v>0.7261774405</x:v>
      </x:c>
      <x:c r="E282" s="10" t="n">
        <x:v>14.7678276641</x:v>
      </x:c>
      <x:c r="F282" s="10" t="n">
        <x:v>60.1100006104</x:v>
      </x:c>
      <x:c r="G282" s="11" t="n">
        <x:f>'Summary'!$C$18</x:f>
        <x:v>1000</x:v>
      </x:c>
      <x:c r="H282" s="12" t="n">
        <x:f>G282/E282</x:f>
        <x:v>67.7147663654662</x:v>
      </x:c>
      <x:c r="I282" s="11" t="n">
        <x:f>H282*F282</x:f>
        <x:v>4070.334647561267</x:v>
      </x:c>
      <x:c r="J282" s="10" t="n">
        <x:v>337.1690010704</x:v>
      </x:c>
      <x:c r="K282" s="10" t="n">
        <x:v>778.570007324</x:v>
      </x:c>
      <x:c r="L282" s="11" t="n">
        <x:f>G282*K282/J282</x:f>
        <x:v>2309.138754904211</x:v>
      </x:c>
      <x:c r="M282" s="2" t="str">
        <x:v>current price</x:v>
      </x:c>
      <x:c r="N282" s="8" t="d">
        <x:v>2026-10-09T00:00:00.000Z</x:v>
      </x:c>
      <x:c r="O282" s="11" t="n">
        <x:f>I282-L282</x:f>
        <x:v>1761.195892657056</x:v>
      </x:c>
    </x:row>
    <x:row r="283" ht="22" customHeight="1">
      <x:c r="A283" s="8" t="d">
        <x:v>2021-01-04T00:00:00.000Z</x:v>
      </x:c>
      <x:c r="B283" s="8" t="d">
        <x:v>2020-12-31T00:00:00.000Z</x:v>
      </x:c>
      <x:c r="C283" s="2" t="str">
        <x:v>NLSN</x:v>
      </x:c>
      <x:c r="D283" s="9" t="n">
        <x:v>0.2906617192</x:v>
      </x:c>
      <x:c r="E283" s="10" t="n">
        <x:v>20.4888249848</x:v>
      </x:c>
      <x:c r="F283" s="10" t="n">
        <x:v>0</x:v>
      </x:c>
      <x:c r="G283" s="11" t="n">
        <x:f>'Summary'!$C$18</x:f>
        <x:v>1000</x:v>
      </x:c>
      <x:c r="H283" s="12" t="n">
        <x:f>G283/E283</x:f>
        <x:v>48.80709365919557</x:v>
      </x:c>
      <x:c r="I283" s="11" t="n">
        <x:f>H283*F283</x:f>
        <x:v>0</x:v>
      </x:c>
      <x:c r="J283" s="10" t="n">
        <x:v>347.6278267279</x:v>
      </x:c>
      <x:c r="K283" s="10" t="n">
        <x:v>778.570007324</x:v>
      </x:c>
      <x:c r="L283" s="11" t="n">
        <x:f>G283*K283/J283</x:f>
        <x:v>2239.665376193871</x:v>
      </x:c>
      <x:c r="M283" s="2" t="str">
        <x:v>written off ($0 rule)</x:v>
      </x:c>
      <x:c r="N283" s="8" t="d">
        <x:v>2022-10-11T00:00:00.000Z</x:v>
      </x:c>
      <x:c r="O283" s="11" t="n">
        <x:f>I283-L283</x:f>
        <x:v>-2239.665376193871</x:v>
      </x:c>
    </x:row>
    <x:row r="284" ht="22" customHeight="1">
      <x:c r="A284" s="8" t="d">
        <x:v>2021-02-01T00:00:00.000Z</x:v>
      </x:c>
      <x:c r="B284" s="8" t="d">
        <x:v>2021-01-29T00:00:00.000Z</x:v>
      </x:c>
      <x:c r="C284" s="2" t="str">
        <x:v>WBD</x:v>
      </x:c>
      <x:c r="D284" s="9" t="n">
        <x:v>0.3765369877</x:v>
      </x:c>
      <x:c r="E284" s="10" t="n">
        <x:v>41.0499992371</x:v>
      </x:c>
      <x:c r="F284" s="10" t="n">
        <x:v>0</x:v>
      </x:c>
      <x:c r="G284" s="11" t="n">
        <x:f>'Summary'!$C$18</x:f>
        <x:v>1000</x:v>
      </x:c>
      <x:c r="H284" s="12" t="n">
        <x:f>G284/E284</x:f>
        <x:v>24.36053638452261</x:v>
      </x:c>
      <x:c r="I284" s="11" t="n">
        <x:f>H284*F284</x:f>
        <x:v>0</x:v>
      </x:c>
      <x:c r="J284" s="10" t="n">
        <x:v>346.155105577</x:v>
      </x:c>
      <x:c r="K284" s="10" t="n">
        <x:v>778.570007324</x:v>
      </x:c>
      <x:c r="L284" s="11" t="n">
        <x:f>G284*K284/J284</x:f>
        <x:v>2249.194060062223</x:v>
      </x:c>
      <x:c r="M284" s="2" t="str">
        <x:v>written off ($0 rule)</x:v>
      </x:c>
      <x:c r="N284" s="8" t="d">
        <x:v>2026-10-06T00:00:00.000Z</x:v>
      </x:c>
      <x:c r="O284" s="11" t="n">
        <x:f>I284-L284</x:f>
        <x:v>-2249.194060062223</x:v>
      </x:c>
    </x:row>
    <x:row r="285" ht="22" customHeight="1">
      <x:c r="A285" s="8" t="d">
        <x:v>2021-03-01T00:00:00.000Z</x:v>
      </x:c>
      <x:c r="B285" s="8" t="d">
        <x:v>2021-02-26T00:00:00.000Z</x:v>
      </x:c>
      <x:c r="C285" s="2" t="str">
        <x:v>MRO</x:v>
      </x:c>
      <x:c r="D285" s="9" t="n">
        <x:v>0.5382939671</x:v>
      </x:c>
      <x:c r="E285" s="10" t="n">
        <x:v>10.878329141</x:v>
      </x:c>
      <x:c r="F285" s="10" t="n">
        <x:v>0</x:v>
      </x:c>
      <x:c r="G285" s="11" t="n">
        <x:f>'Summary'!$C$18</x:f>
        <x:v>1000</x:v>
      </x:c>
      <x:c r="H285" s="12" t="n">
        <x:f>G285/E285</x:f>
        <x:v>91.92588191058118</x:v>
      </x:c>
      <x:c r="I285" s="11" t="n">
        <x:f>H285*F285</x:f>
        <x:v>0</x:v>
      </x:c>
      <x:c r="J285" s="10" t="n">
        <x:v>357.1495918224</x:v>
      </x:c>
      <x:c r="K285" s="10" t="n">
        <x:v>778.570007324</x:v>
      </x:c>
      <x:c r="L285" s="11" t="n">
        <x:f>G285*K285/J285</x:f>
        <x:v>2179.954912873483</x:v>
      </x:c>
      <x:c r="M285" s="2" t="str">
        <x:v>written off ($0 rule)</x:v>
      </x:c>
      <x:c r="N285" s="8" t="d">
        <x:v>2024-11-21T00:00:00.000Z</x:v>
      </x:c>
      <x:c r="O285" s="11" t="n">
        <x:f>I285-L285</x:f>
        <x:v>-2179.954912873483</x:v>
      </x:c>
    </x:row>
    <x:row r="286" ht="22" customHeight="1">
      <x:c r="A286" s="8" t="d">
        <x:v>2021-04-01T00:00:00.000Z</x:v>
      </x:c>
      <x:c r="B286" s="8" t="d">
        <x:v>2021-03-31T00:00:00.000Z</x:v>
      </x:c>
      <x:c r="C286" s="2" t="str">
        <x:v>NUE</x:v>
      </x:c>
      <x:c r="D286" s="9" t="n">
        <x:v>0.3487955235</x:v>
      </x:c>
      <x:c r="E286" s="10" t="n">
        <x:v>73.0861943419</x:v>
      </x:c>
      <x:c r="F286" s="10" t="n">
        <x:v>250.330001831</x:v>
      </x:c>
      <x:c r="G286" s="11" t="n">
        <x:f>'Summary'!$C$18</x:f>
        <x:v>1000</x:v>
      </x:c>
      <x:c r="H286" s="12" t="n">
        <x:f>G286/E286</x:f>
        <x:v>13.682474631555749</x:v>
      </x:c>
      <x:c r="I286" s="11" t="n">
        <x:f>H286*F286</x:f>
        <x:v>3425.1338995699616</x:v>
      </x:c>
      <x:c r="J286" s="10" t="n">
        <x:v>370.2233545789</x:v>
      </x:c>
      <x:c r="K286" s="10" t="n">
        <x:v>778.570007324</x:v>
      </x:c>
      <x:c r="L286" s="11" t="n">
        <x:f>G286*K286/J286</x:f>
        <x:v>2102.9737797324055</x:v>
      </x:c>
      <x:c r="M286" s="2" t="str">
        <x:v>current price</x:v>
      </x:c>
      <x:c r="N286" s="8" t="d">
        <x:v>2026-10-09T00:00:00.000Z</x:v>
      </x:c>
      <x:c r="O286" s="11" t="n">
        <x:f>I286-L286</x:f>
        <x:v>1322.160119837556</x:v>
      </x:c>
    </x:row>
    <x:row r="287" ht="22" customHeight="1">
      <x:c r="A287" s="8" t="d">
        <x:v>2021-05-03T00:00:00.000Z</x:v>
      </x:c>
      <x:c r="B287" s="8" t="d">
        <x:v>2021-04-30T00:00:00.000Z</x:v>
      </x:c>
      <x:c r="C287" s="2" t="str">
        <x:v>EFX</x:v>
      </x:c>
      <x:c r="D287" s="9" t="n">
        <x:v>0.2655550685</x:v>
      </x:c>
      <x:c r="E287" s="10" t="n">
        <x:v>220.8839448316</x:v>
      </x:c>
      <x:c r="F287" s="10" t="n">
        <x:v>145.779998779</x:v>
      </x:c>
      <x:c r="G287" s="11" t="n">
        <x:f>'Summary'!$C$18</x:f>
        <x:v>1000</x:v>
      </x:c>
      <x:c r="H287" s="12" t="n">
        <x:f>G287/E287</x:f>
        <x:v>4.527264309601096</x:v>
      </x:c>
      <x:c r="I287" s="11" t="n">
        <x:f>H287*F287</x:f>
        <x:v>659.984585525858</x:v>
      </x:c>
      <x:c r="J287" s="10" t="n">
        <x:v>389.7660172666</x:v>
      </x:c>
      <x:c r="K287" s="10" t="n">
        <x:v>778.570007324</x:v>
      </x:c>
      <x:c r="L287" s="11" t="n">
        <x:f>G287*K287/J287</x:f>
        <x:v>1997.5317827450772</x:v>
      </x:c>
      <x:c r="M287" s="2" t="str">
        <x:v>current price</x:v>
      </x:c>
      <x:c r="N287" s="8" t="d">
        <x:v>2026-10-09T00:00:00.000Z</x:v>
      </x:c>
      <x:c r="O287" s="11" t="n">
        <x:f>I287-L287</x:f>
        <x:v>-1337.547197219219</x:v>
      </x:c>
    </x:row>
    <x:row r="288" ht="22" customHeight="1">
      <x:c r="A288" s="8" t="d">
        <x:v>2021-06-01T00:00:00.000Z</x:v>
      </x:c>
      <x:c r="B288" s="8" t="d">
        <x:v>2021-05-28T00:00:00.000Z</x:v>
      </x:c>
      <x:c r="C288" s="2" t="str">
        <x:v>GEN</x:v>
      </x:c>
      <x:c r="D288" s="9" t="n">
        <x:v>0.2799629369</x:v>
      </x:c>
      <x:c r="E288" s="10" t="n">
        <x:v>24.8773362884</x:v>
      </x:c>
      <x:c r="F288" s="10" t="n">
        <x:v>23.25</x:v>
      </x:c>
      <x:c r="G288" s="11" t="n">
        <x:f>'Summary'!$C$18</x:f>
        <x:v>1000</x:v>
      </x:c>
      <x:c r="H288" s="12" t="n">
        <x:f>G288/E288</x:f>
        <x:v>40.19722965542287</x:v>
      </x:c>
      <x:c r="I288" s="11" t="n">
        <x:f>H288*F288</x:f>
        <x:v>934.5855894885818</x:v>
      </x:c>
      <x:c r="J288" s="10" t="n">
        <x:v>392.6839559564</x:v>
      </x:c>
      <x:c r="K288" s="10" t="n">
        <x:v>778.570007324</x:v>
      </x:c>
      <x:c r="L288" s="11" t="n">
        <x:f>G288*K288/J288</x:f>
        <x:v>1982.6886113229573</x:v>
      </x:c>
      <x:c r="M288" s="2" t="str">
        <x:v>current price</x:v>
      </x:c>
      <x:c r="N288" s="8" t="d">
        <x:v>2026-10-09T00:00:00.000Z</x:v>
      </x:c>
      <x:c r="O288" s="11" t="n">
        <x:f>I288-L288</x:f>
        <x:v>-1048.1030218343753</x:v>
      </x:c>
    </x:row>
    <x:row r="289" ht="22" customHeight="1">
      <x:c r="A289" s="8" t="d">
        <x:v>2021-07-01T00:00:00.000Z</x:v>
      </x:c>
      <x:c r="B289" s="8" t="d">
        <x:v>2021-06-30T00:00:00.000Z</x:v>
      </x:c>
      <x:c r="C289" s="2" t="str">
        <x:v>BIIB</x:v>
      </x:c>
      <x:c r="D289" s="9" t="n">
        <x:v>0.2945639853</x:v>
      </x:c>
      <x:c r="E289" s="10" t="n">
        <x:v>346</x:v>
      </x:c>
      <x:c r="F289" s="10" t="n">
        <x:v>225.710006714</x:v>
      </x:c>
      <x:c r="G289" s="11" t="n">
        <x:f>'Summary'!$C$18</x:f>
        <x:v>1000</x:v>
      </x:c>
      <x:c r="H289" s="12" t="n">
        <x:f>G289/E289</x:f>
        <x:v>2.8901734104046244</x:v>
      </x:c>
      <x:c r="I289" s="11" t="n">
        <x:f>H289*F289</x:f>
        <x:v>652.3410598670521</x:v>
      </x:c>
      <x:c r="J289" s="10" t="n">
        <x:v>399.8422239139</x:v>
      </x:c>
      <x:c r="K289" s="10" t="n">
        <x:v>778.570007324</x:v>
      </x:c>
      <x:c r="L289" s="11" t="n">
        <x:f>G289*K289/J289</x:f>
        <x:v>1947.193069563492</x:v>
      </x:c>
      <x:c r="M289" s="2" t="str">
        <x:v>current price</x:v>
      </x:c>
      <x:c r="N289" s="8" t="d">
        <x:v>2026-10-09T00:00:00.000Z</x:v>
      </x:c>
      <x:c r="O289" s="11" t="n">
        <x:f>I289-L289</x:f>
        <x:v>-1294.8520096964398</x:v>
      </x:c>
    </x:row>
    <x:row r="290" ht="22" customHeight="1">
      <x:c r="A290" s="8" t="d">
        <x:v>2021-08-02T00:00:00.000Z</x:v>
      </x:c>
      <x:c r="B290" s="8" t="d">
        <x:v>2021-07-30T00:00:00.000Z</x:v>
      </x:c>
      <x:c r="C290" s="2" t="str">
        <x:v>MRNA</x:v>
      </x:c>
      <x:c r="D290" s="9" t="n">
        <x:v>0.5048089732</x:v>
      </x:c>
      <x:c r="E290" s="10" t="n">
        <x:v>360</x:v>
      </x:c>
      <x:c r="F290" s="10" t="n">
        <x:v>225</x:v>
      </x:c>
      <x:c r="G290" s="11" t="n">
        <x:f>'Summary'!$C$18</x:f>
        <x:v>1000</x:v>
      </x:c>
      <x:c r="H290" s="12" t="n">
        <x:f>G290/E290</x:f>
        <x:v>2.7777777777777777</x:v>
      </x:c>
      <x:c r="I290" s="11" t="n">
        <x:f>H290*F290</x:f>
        <x:v>625</x:v>
      </x:c>
      <x:c r="J290" s="10" t="n">
        <x:v>410.5358859769</x:v>
      </x:c>
      <x:c r="K290" s="10" t="n">
        <x:v>778.570007324</x:v>
      </x:c>
      <x:c r="L290" s="11" t="n">
        <x:f>G290*K290/J290</x:f>
        <x:v>1896.472473950325</x:v>
      </x:c>
      <x:c r="M290" s="2" t="str">
        <x:v>current price</x:v>
      </x:c>
      <x:c r="N290" s="8" t="d">
        <x:v>2026-10-09T00:00:00.000Z</x:v>
      </x:c>
      <x:c r="O290" s="11" t="n">
        <x:f>I290-L290</x:f>
        <x:v>-1271.472473950325</x:v>
      </x:c>
    </x:row>
    <x:row r="291" ht="22" customHeight="1">
      <x:c r="A291" s="8" t="d">
        <x:v>2021-09-01T00:00:00.000Z</x:v>
      </x:c>
      <x:c r="B291" s="8" t="d">
        <x:v>2021-08-31T00:00:00.000Z</x:v>
      </x:c>
      <x:c r="C291" s="2" t="str">
        <x:v>PAYC</x:v>
      </x:c>
      <x:c r="D291" s="9" t="n">
        <x:v>0.2222499847</x:v>
      </x:c>
      <x:c r="E291" s="10" t="n">
        <x:v>473.1335034282</x:v>
      </x:c>
      <x:c r="F291" s="10" t="n">
        <x:v>232.220001221</x:v>
      </x:c>
      <x:c r="G291" s="11" t="n">
        <x:f>'Summary'!$C$18</x:f>
        <x:v>1000</x:v>
      </x:c>
      <x:c r="H291" s="12" t="n">
        <x:f>G291/E291</x:f>
        <x:v>2.113568353866858</x:v>
      </x:c>
      <x:c r="I291" s="11" t="n">
        <x:f>H291*F291</x:f>
        <x:v>490.81284571562867</x:v>
      </x:c>
      <x:c r="J291" s="10" t="n">
        <x:v>421.9287848037</x:v>
      </x:c>
      <x:c r="K291" s="10" t="n">
        <x:v>778.570007324</x:v>
      </x:c>
      <x:c r="L291" s="11" t="n">
        <x:f>G291*K291/J291</x:f>
        <x:v>1845.2640240845983</x:v>
      </x:c>
      <x:c r="M291" s="2" t="str">
        <x:v>current price</x:v>
      </x:c>
      <x:c r="N291" s="8" t="d">
        <x:v>2026-10-09T00:00:00.000Z</x:v>
      </x:c>
      <x:c r="O291" s="11" t="n">
        <x:f>I291-L291</x:f>
        <x:v>-1354.4511783689695</x:v>
      </x:c>
    </x:row>
    <x:row r="292" ht="22" customHeight="1">
      <x:c r="A292" s="8" t="d">
        <x:v>2021-10-01T00:00:00.000Z</x:v>
      </x:c>
      <x:c r="B292" s="8" t="d">
        <x:v>2021-09-30T00:00:00.000Z</x:v>
      </x:c>
      <x:c r="C292" s="2" t="str">
        <x:v>CTRA</x:v>
      </x:c>
      <x:c r="D292" s="9" t="n">
        <x:v>0.3694147262</x:v>
      </x:c>
      <x:c r="E292" s="10" t="n">
        <x:v>17.3616899083</x:v>
      </x:c>
      <x:c r="F292" s="10" t="n">
        <x:v>0</x:v>
      </x:c>
      <x:c r="G292" s="11" t="n">
        <x:f>'Summary'!$C$18</x:f>
        <x:v>1000</x:v>
      </x:c>
      <x:c r="H292" s="12" t="n">
        <x:f>G292/E292</x:f>
        <x:v>57.598079753857135</x:v>
      </x:c>
      <x:c r="I292" s="11" t="n">
        <x:f>H292*F292</x:f>
        <x:v>0</x:v>
      </x:c>
      <x:c r="J292" s="10" t="n">
        <x:v>403.0966803091</x:v>
      </x:c>
      <x:c r="K292" s="10" t="n">
        <x:v>778.570007324</x:v>
      </x:c>
      <x:c r="L292" s="11" t="n">
        <x:f>G292*K292/J292</x:f>
        <x:v>1931.472138959274</x:v>
      </x:c>
      <x:c r="M292" s="2" t="str">
        <x:v>written off ($0 rule)</x:v>
      </x:c>
      <x:c r="N292" s="8" t="d">
        <x:v>2026-05-06T00:00:00.000Z</x:v>
      </x:c>
      <x:c r="O292" s="11" t="n">
        <x:f>I292-L292</x:f>
        <x:v>-1931.472138959274</x:v>
      </x:c>
    </x:row>
    <x:row r="293" ht="22" customHeight="1">
      <x:c r="A293" s="8" t="d">
        <x:v>2021-11-01T00:00:00.000Z</x:v>
      </x:c>
      <x:c r="B293" s="8" t="d">
        <x:v>2021-10-29T00:00:00.000Z</x:v>
      </x:c>
      <x:c r="C293" s="2" t="str">
        <x:v>ENPH</x:v>
      </x:c>
      <x:c r="D293" s="9" t="n">
        <x:v>0.5445089218</x:v>
      </x:c>
      <x:c r="E293" s="10" t="n">
        <x:v>233.039993286</x:v>
      </x:c>
      <x:c r="F293" s="10" t="n">
        <x:v>32.8100013733</x:v>
      </x:c>
      <x:c r="G293" s="11" t="n">
        <x:f>'Summary'!$C$18</x:f>
        <x:v>1000</x:v>
      </x:c>
      <x:c r="H293" s="12" t="n">
        <x:f>G293/E293</x:f>
        <x:v>4.2911089461487535</x:v>
      </x:c>
      <x:c r="I293" s="11" t="n">
        <x:f>H293*F293</x:f>
        <x:v>140.79129041612052</x:v>
      </x:c>
      <x:c r="J293" s="10" t="n">
        <x:v>430.5197278197</x:v>
      </x:c>
      <x:c r="K293" s="10" t="n">
        <x:v>778.570007324</x:v>
      </x:c>
      <x:c r="L293" s="11" t="n">
        <x:f>G293*K293/J293</x:f>
        <x:v>1808.4421154564654</x:v>
      </x:c>
      <x:c r="M293" s="2" t="str">
        <x:v>current price</x:v>
      </x:c>
      <x:c r="N293" s="8" t="d">
        <x:v>2026-10-09T00:00:00.000Z</x:v>
      </x:c>
      <x:c r="O293" s="11" t="n">
        <x:f>I293-L293</x:f>
        <x:v>-1667.650825040345</x:v>
      </x:c>
    </x:row>
    <x:row r="294" ht="22" customHeight="1">
      <x:c r="A294" s="8" t="d">
        <x:v>2021-12-01T00:00:00.000Z</x:v>
      </x:c>
      <x:c r="B294" s="8" t="d">
        <x:v>2021-11-30T00:00:00.000Z</x:v>
      </x:c>
      <x:c r="C294" s="2" t="str">
        <x:v>QCOM</x:v>
      </x:c>
      <x:c r="D294" s="9" t="n">
        <x:v>0.3571858589</x:v>
      </x:c>
      <x:c r="E294" s="10" t="n">
        <x:v>162.8676712887</x:v>
      </x:c>
      <x:c r="F294" s="10" t="n">
        <x:v>175.5</x:v>
      </x:c>
      <x:c r="G294" s="11" t="n">
        <x:f>'Summary'!$C$18</x:f>
        <x:v>1000</x:v>
      </x:c>
      <x:c r="H294" s="12" t="n">
        <x:f>G294/E294</x:f>
        <x:v>6.139953939830056</x:v>
      </x:c>
      <x:c r="I294" s="11" t="n">
        <x:f>H294*F294</x:f>
        <x:v>1077.5619164401749</x:v>
      </x:c>
      <x:c r="J294" s="10" t="n">
        <x:v>431.7730582827</x:v>
      </x:c>
      <x:c r="K294" s="10" t="n">
        <x:v>778.570007324</x:v>
      </x:c>
      <x:c r="L294" s="11" t="n">
        <x:f>G294*K294/J294</x:f>
        <x:v>1803.1926550040496</x:v>
      </x:c>
      <x:c r="M294" s="2" t="str">
        <x:v>current price</x:v>
      </x:c>
      <x:c r="N294" s="8" t="d">
        <x:v>2026-10-09T00:00:00.000Z</x:v>
      </x:c>
      <x:c r="O294" s="11" t="n">
        <x:f>I294-L294</x:f>
        <x:v>-725.6307385638747</x:v>
      </x:c>
    </x:row>
    <x:row r="295" ht="22" customHeight="1">
      <x:c r="A295" s="8" t="d">
        <x:v>2022-01-03T00:00:00.000Z</x:v>
      </x:c>
      <x:c r="B295" s="8" t="d">
        <x:v>2021-12-31T00:00:00.000Z</x:v>
      </x:c>
      <x:c r="C295" s="2" t="str">
        <x:v>CERN</x:v>
      </x:c>
      <x:c r="D295" s="9" t="n">
        <x:v>0.3221289246</x:v>
      </x:c>
      <x:c r="E295" s="10" t="n">
        <x:v>92.6022487987</x:v>
      </x:c>
      <x:c r="F295" s="10" t="n">
        <x:v>0</x:v>
      </x:c>
      <x:c r="G295" s="11" t="n">
        <x:f>'Summary'!$C$18</x:f>
        <x:v>1000</x:v>
      </x:c>
      <x:c r="H295" s="12" t="n">
        <x:f>G295/E295</x:f>
        <x:v>10.798873817565848</x:v>
      </x:c>
      <x:c r="I295" s="11" t="n">
        <x:f>H295*F295</x:f>
        <x:v>0</x:v>
      </x:c>
      <x:c r="J295" s="10" t="n">
        <x:v>447.04964882</x:v>
      </x:c>
      <x:c r="K295" s="10" t="n">
        <x:v>778.570007324</x:v>
      </x:c>
      <x:c r="L295" s="11" t="n">
        <x:f>G295*K295/J295</x:f>
        <x:v>1741.5739155126444</x:v>
      </x:c>
      <x:c r="M295" s="2" t="str">
        <x:v>written off ($0 rule)</x:v>
      </x:c>
      <x:c r="N295" s="8" t="d">
        <x:v>2022-06-07T00:00:00.000Z</x:v>
      </x:c>
      <x:c r="O295" s="11" t="n">
        <x:f>I295-L295</x:f>
        <x:v>-1741.5739155126444</x:v>
      </x:c>
    </x:row>
    <x:row r="296" ht="22" customHeight="1">
      <x:c r="A296" s="8" t="d">
        <x:v>2022-02-01T00:00:00.000Z</x:v>
      </x:c>
      <x:c r="B296" s="8" t="d">
        <x:v>2022-01-31T00:00:00.000Z</x:v>
      </x:c>
      <x:c r="C296" s="2" t="str">
        <x:v>HAL</x:v>
      </x:c>
      <x:c r="D296" s="9" t="n">
        <x:v>0.3441188738</x:v>
      </x:c>
      <x:c r="E296" s="10" t="n">
        <x:v>27.681022671</x:v>
      </x:c>
      <x:c r="F296" s="10" t="n">
        <x:v>32.5499992371</x:v>
      </x:c>
      <x:c r="G296" s="11" t="n">
        <x:f>'Summary'!$C$18</x:f>
        <x:v>1000</x:v>
      </x:c>
      <x:c r="H296" s="12" t="n">
        <x:f>G296/E296</x:f>
        <x:v>36.12583291756952</x:v>
      </x:c>
      <x:c r="I296" s="11" t="n">
        <x:f>H296*F296</x:f>
        <x:v>1175.89583390649</x:v>
      </x:c>
      <x:c r="J296" s="10" t="n">
        <x:v>423.0030183069</x:v>
      </x:c>
      <x:c r="K296" s="10" t="n">
        <x:v>778.570007324</x:v>
      </x:c>
      <x:c r="L296" s="11" t="n">
        <x:f>G296*K296/J296</x:f>
        <x:v>1840.5779004610474</x:v>
      </x:c>
      <x:c r="M296" s="2" t="str">
        <x:v>current price</x:v>
      </x:c>
      <x:c r="N296" s="8" t="d">
        <x:v>2026-10-09T00:00:00.000Z</x:v>
      </x:c>
      <x:c r="O296" s="11" t="n">
        <x:f>I296-L296</x:f>
        <x:v>-664.6820665545574</x:v>
      </x:c>
    </x:row>
    <x:row r="297" ht="22" customHeight="1">
      <x:c r="A297" s="8" t="d">
        <x:v>2022-03-01T00:00:00.000Z</x:v>
      </x:c>
      <x:c r="B297" s="8" t="d">
        <x:v>2022-02-28T00:00:00.000Z</x:v>
      </x:c>
      <x:c r="C297" s="2" t="str">
        <x:v>SEDG</x:v>
      </x:c>
      <x:c r="D297" s="9" t="n">
        <x:v>0.3408614381</x:v>
      </x:c>
      <x:c r="E297" s="10" t="n">
        <x:v>315</x:v>
      </x:c>
      <x:c r="F297" s="10" t="n">
        <x:v>32.2099990845</x:v>
      </x:c>
      <x:c r="G297" s="11" t="n">
        <x:f>'Summary'!$C$18</x:f>
        <x:v>1000</x:v>
      </x:c>
      <x:c r="H297" s="12" t="n">
        <x:f>G297/E297</x:f>
        <x:v>3.1746031746031744</x:v>
      </x:c>
      <x:c r="I297" s="11" t="n">
        <x:f>H297*F297</x:f>
        <x:v>102.25396534761903</x:v>
      </x:c>
      <x:c r="J297" s="10" t="n">
        <x:v>408.3235104498</x:v>
      </x:c>
      <x:c r="K297" s="10" t="n">
        <x:v>778.570007324</x:v>
      </x:c>
      <x:c r="L297" s="11" t="n">
        <x:f>G297*K297/J297</x:f>
        <x:v>1906.747927559559</x:v>
      </x:c>
      <x:c r="M297" s="2" t="str">
        <x:v>current price</x:v>
      </x:c>
      <x:c r="N297" s="8" t="d">
        <x:v>2026-10-09T00:00:00.000Z</x:v>
      </x:c>
      <x:c r="O297" s="11" t="n">
        <x:f>I297-L297</x:f>
        <x:v>-1804.49396221194</x:v>
      </x:c>
    </x:row>
    <x:row r="298" ht="22" customHeight="1">
      <x:c r="A298" s="8" t="d">
        <x:v>2022-04-01T00:00:00.000Z</x:v>
      </x:c>
      <x:c r="B298" s="8" t="d">
        <x:v>2022-03-31T00:00:00.000Z</x:v>
      </x:c>
      <x:c r="C298" s="2" t="str">
        <x:v>NLSN</x:v>
      </x:c>
      <x:c r="D298" s="9" t="n">
        <x:v>0.5691213125</x:v>
      </x:c>
      <x:c r="E298" s="10" t="n">
        <x:v>27.2065285112</x:v>
      </x:c>
      <x:c r="F298" s="10" t="n">
        <x:v>0</x:v>
      </x:c>
      <x:c r="G298" s="11" t="n">
        <x:f>'Summary'!$C$18</x:f>
        <x:v>1000</x:v>
      </x:c>
      <x:c r="H298" s="12" t="n">
        <x:f>G298/E298</x:f>
        <x:v>36.75588377945147</x:v>
      </x:c>
      <x:c r="I298" s="11" t="n">
        <x:f>H298*F298</x:f>
        <x:v>0</x:v>
      </x:c>
      <x:c r="J298" s="10" t="n">
        <x:v>426.7932952339</x:v>
      </x:c>
      <x:c r="K298" s="10" t="n">
        <x:v>778.570007324</x:v>
      </x:c>
      <x:c r="L298" s="11" t="n">
        <x:f>G298*K298/J298</x:f>
        <x:v>1824.232048671974</x:v>
      </x:c>
      <x:c r="M298" s="2" t="str">
        <x:v>written off ($0 rule)</x:v>
      </x:c>
      <x:c r="N298" s="8" t="d">
        <x:v>2022-10-11T00:00:00.000Z</x:v>
      </x:c>
      <x:c r="O298" s="11" t="n">
        <x:f>I298-L298</x:f>
        <x:v>-1824.232048671974</x:v>
      </x:c>
    </x:row>
    <x:row r="299" ht="22" customHeight="1">
      <x:c r="A299" s="8" t="d">
        <x:v>2022-05-02T00:00:00.000Z</x:v>
      </x:c>
      <x:c r="B299" s="8" t="d">
        <x:v>2022-04-29T00:00:00.000Z</x:v>
      </x:c>
      <x:c r="C299" s="2" t="str">
        <x:v>TWTR</x:v>
      </x:c>
      <x:c r="D299" s="9" t="n">
        <x:v>0.2669940553</x:v>
      </x:c>
      <x:c r="E299" s="10" t="n">
        <x:v>48.7</x:v>
      </x:c>
      <x:c r="F299" s="10" t="n">
        <x:v>0</x:v>
      </x:c>
      <x:c r="G299" s="11" t="n">
        <x:f>'Summary'!$C$18</x:f>
        <x:v>1000</x:v>
      </x:c>
      <x:c r="H299" s="12" t="n">
        <x:f>G299/E299</x:f>
        <x:v>20.533880903490758</x:v>
      </x:c>
      <x:c r="I299" s="11" t="n">
        <x:f>H299*F299</x:f>
        <x:v>0</x:v>
      </x:c>
      <x:c r="J299" s="10" t="n">
        <x:v>387.965668616</x:v>
      </x:c>
      <x:c r="K299" s="10" t="n">
        <x:v>778.570007324</x:v>
      </x:c>
      <x:c r="L299" s="11" t="n">
        <x:f>G299*K299/J299</x:f>
        <x:v>2006.8012979122946</x:v>
      </x:c>
      <x:c r="M299" s="2" t="str">
        <x:v>written off ($0 rule)</x:v>
      </x:c>
      <x:c r="N299" s="8" t="d">
        <x:v>2022-10-27T00:00:00.000Z</x:v>
      </x:c>
      <x:c r="O299" s="11" t="n">
        <x:f>I299-L299</x:f>
        <x:v>-2006.8012979122946</x:v>
      </x:c>
    </x:row>
    <x:row r="300" ht="22" customHeight="1">
      <x:c r="A300" s="8" t="d">
        <x:v>2022-06-01T00:00:00.000Z</x:v>
      </x:c>
      <x:c r="B300" s="8" t="d">
        <x:v>2022-05-31T00:00:00.000Z</x:v>
      </x:c>
      <x:c r="C300" s="2" t="str">
        <x:v>ALB</x:v>
      </x:c>
      <x:c r="D300" s="9" t="n">
        <x:v>0.3505160554</x:v>
      </x:c>
      <x:c r="E300" s="10" t="n">
        <x:v>238.4074367734</x:v>
      </x:c>
      <x:c r="F300" s="10" t="n">
        <x:v>101.269996643</x:v>
      </x:c>
      <x:c r="G300" s="11" t="n">
        <x:f>'Summary'!$C$18</x:f>
        <x:v>1000</x:v>
      </x:c>
      <x:c r="H300" s="12" t="n">
        <x:f>G300/E300</x:f>
        <x:v>4.194500027071193</x:v>
      </x:c>
      <x:c r="I300" s="11" t="n">
        <x:f>H300*F300</x:f>
        <x:v>424.77700366056314</x:v>
      </x:c>
      <x:c r="J300" s="10" t="n">
        <x:v>390.8843375777</x:v>
      </x:c>
      <x:c r="K300" s="10" t="n">
        <x:v>778.570007324</x:v>
      </x:c>
      <x:c r="L300" s="11" t="n">
        <x:f>G300*K300/J300</x:f>
        <x:v>1991.8168431837864</x:v>
      </x:c>
      <x:c r="M300" s="2" t="str">
        <x:v>current price</x:v>
      </x:c>
      <x:c r="N300" s="8" t="d">
        <x:v>2026-10-09T00:00:00.000Z</x:v>
      </x:c>
      <x:c r="O300" s="11" t="n">
        <x:f>I300-L300</x:f>
        <x:v>-1567.0398395232232</x:v>
      </x:c>
    </x:row>
    <x:row r="301" ht="22" customHeight="1">
      <x:c r="A301" s="8" t="d">
        <x:v>2022-07-01T00:00:00.000Z</x:v>
      </x:c>
      <x:c r="B301" s="8" t="d">
        <x:v>2022-06-30T00:00:00.000Z</x:v>
      </x:c>
      <x:c r="C301" s="2" t="str">
        <x:v>DG</x:v>
      </x:c>
      <x:c r="D301" s="9" t="n">
        <x:v>0.1139148885</x:v>
      </x:c>
      <x:c r="E301" s="10" t="n">
        <x:v>224.5028662925</x:v>
      </x:c>
      <x:c r="F301" s="10" t="n">
        <x:v>127.230003357</x:v>
      </x:c>
      <x:c r="G301" s="11" t="n">
        <x:f>'Summary'!$C$18</x:f>
        <x:v>1000</x:v>
      </x:c>
      <x:c r="H301" s="12" t="n">
        <x:f>G301/E301</x:f>
        <x:v>4.4542861145350425</x:v>
      </x:c>
      <x:c r="I301" s="11" t="n">
        <x:f>H301*F301</x:f>
        <x:v>566.7188373053319</x:v>
      </x:c>
      <x:c r="J301" s="10" t="n">
        <x:v>356.0643129152</x:v>
      </x:c>
      <x:c r="K301" s="10" t="n">
        <x:v>778.570007324</x:v>
      </x:c>
      <x:c r="L301" s="11" t="n">
        <x:f>G301*K301/J301</x:f>
        <x:v>2186.5993841102063</x:v>
      </x:c>
      <x:c r="M301" s="2" t="str">
        <x:v>current price</x:v>
      </x:c>
      <x:c r="N301" s="8" t="d">
        <x:v>2026-10-09T00:00:00.000Z</x:v>
      </x:c>
      <x:c r="O301" s="11" t="n">
        <x:f>I301-L301</x:f>
        <x:v>-1619.8805468048745</x:v>
      </x:c>
    </x:row>
    <x:row r="302" ht="22" customHeight="1">
      <x:c r="A302" s="8" t="d">
        <x:v>2022-08-01T00:00:00.000Z</x:v>
      </x:c>
      <x:c r="B302" s="8" t="d">
        <x:v>2022-07-29T00:00:00.000Z</x:v>
      </x:c>
      <x:c r="C302" s="2" t="str">
        <x:v>ENPH</x:v>
      </x:c>
      <x:c r="D302" s="9" t="n">
        <x:v>0.4555418187</x:v>
      </x:c>
      <x:c r="E302" s="10" t="n">
        <x:v>282.910003662</x:v>
      </x:c>
      <x:c r="F302" s="10" t="n">
        <x:v>32.8100013733</x:v>
      </x:c>
      <x:c r="G302" s="11" t="n">
        <x:f>'Summary'!$C$18</x:f>
        <x:v>1000</x:v>
      </x:c>
      <x:c r="H302" s="12" t="n">
        <x:f>G302/E302</x:f>
        <x:v>3.534692966158688</x:v>
      </x:c>
      <x:c r="I302" s="11" t="n">
        <x:f>H302*F302</x:f>
        <x:v>115.97328107386039</x:v>
      </x:c>
      <x:c r="J302" s="10" t="n">
        <x:v>386.8804769494</x:v>
      </x:c>
      <x:c r="K302" s="10" t="n">
        <x:v>778.570007324</x:v>
      </x:c>
      <x:c r="L302" s="11" t="n">
        <x:f>G302*K302/J302</x:f>
        <x:v>2012.4303336863104</x:v>
      </x:c>
      <x:c r="M302" s="2" t="str">
        <x:v>current price</x:v>
      </x:c>
      <x:c r="N302" s="8" t="d">
        <x:v>2026-10-09T00:00:00.000Z</x:v>
      </x:c>
      <x:c r="O302" s="11" t="n">
        <x:f>I302-L302</x:f>
        <x:v>-1896.45705261245</x:v>
      </x:c>
    </x:row>
    <x:row r="303" ht="22" customHeight="1">
      <x:c r="A303" s="8" t="d">
        <x:v>2022-09-01T00:00:00.000Z</x:v>
      </x:c>
      <x:c r="B303" s="8" t="d">
        <x:v>2022-08-31T00:00:00.000Z</x:v>
      </x:c>
      <x:c r="C303" s="2" t="str">
        <x:v>CEG</x:v>
      </x:c>
      <x:c r="D303" s="9" t="n">
        <x:v>0.2365536522</x:v>
      </x:c>
      <x:c r="E303" s="10" t="n">
        <x:v>79.1335961141</x:v>
      </x:c>
      <x:c r="F303" s="10" t="n">
        <x:v>298.070007324</x:v>
      </x:c>
      <x:c r="G303" s="11" t="n">
        <x:f>'Summary'!$C$18</x:f>
        <x:v>1000</x:v>
      </x:c>
      <x:c r="H303" s="12" t="n">
        <x:f>G303/E303</x:f>
        <x:v>12.636857783616133</x:v>
      </x:c>
      <x:c r="I303" s="11" t="n">
        <x:f>H303*F303</x:f>
        <x:v>3766.668292114807</x:v>
      </x:c>
      <x:c r="J303" s="10" t="n">
        <x:v>371.5055078172</x:v>
      </x:c>
      <x:c r="K303" s="10" t="n">
        <x:v>778.570007324</x:v>
      </x:c>
      <x:c r="L303" s="11" t="n">
        <x:f>G303*K303/J303</x:f>
        <x:v>2095.7159206024394</x:v>
      </x:c>
      <x:c r="M303" s="2" t="str">
        <x:v>current price</x:v>
      </x:c>
      <x:c r="N303" s="8" t="d">
        <x:v>2026-10-09T00:00:00.000Z</x:v>
      </x:c>
      <x:c r="O303" s="11" t="n">
        <x:f>I303-L303</x:f>
        <x:v>1670.9523715123678</x:v>
      </x:c>
    </x:row>
    <x:row r="304" ht="22" customHeight="1">
      <x:c r="A304" s="8" t="d">
        <x:v>2022-10-03T00:00:00.000Z</x:v>
      </x:c>
      <x:c r="B304" s="8" t="d">
        <x:v>2022-09-30T00:00:00.000Z</x:v>
      </x:c>
      <x:c r="C304" s="2" t="str">
        <x:v>BIIB</x:v>
      </x:c>
      <x:c r="D304" s="9" t="n">
        <x:v>0.36656768</x:v>
      </x:c>
      <x:c r="E304" s="10" t="n">
        <x:v>269</x:v>
      </x:c>
      <x:c r="F304" s="10" t="n">
        <x:v>225.710006714</x:v>
      </x:c>
      <x:c r="G304" s="11" t="n">
        <x:f>'Summary'!$C$18</x:f>
        <x:v>1000</x:v>
      </x:c>
      <x:c r="H304" s="12" t="n">
        <x:f>G304/E304</x:f>
        <x:v>3.717472118959108</x:v>
      </x:c>
      <x:c r="I304" s="11" t="n">
        <x:f>H304*F304</x:f>
        <x:v>839.070656929368</x:v>
      </x:c>
      <x:c r="J304" s="10" t="n">
        <x:v>342.8293911807</x:v>
      </x:c>
      <x:c r="K304" s="10" t="n">
        <x:v>778.570007324</x:v>
      </x:c>
      <x:c r="L304" s="11" t="n">
        <x:f>G304*K304/J304</x:f>
        <x:v>2271.0130092481713</x:v>
      </x:c>
      <x:c r="M304" s="2" t="str">
        <x:v>current price</x:v>
      </x:c>
      <x:c r="N304" s="8" t="d">
        <x:v>2026-10-09T00:00:00.000Z</x:v>
      </x:c>
      <x:c r="O304" s="11" t="n">
        <x:f>I304-L304</x:f>
        <x:v>-1431.9423523188034</x:v>
      </x:c>
    </x:row>
    <x:row r="305" ht="22" customHeight="1">
      <x:c r="A305" s="8" t="d">
        <x:v>2022-11-01T00:00:00.000Z</x:v>
      </x:c>
      <x:c r="B305" s="8" t="d">
        <x:v>2022-10-31T00:00:00.000Z</x:v>
      </x:c>
      <x:c r="C305" s="2" t="str">
        <x:v>DXCM</x:v>
      </x:c>
      <x:c r="D305" s="9" t="n">
        <x:v>0.4996274821</x:v>
      </x:c>
      <x:c r="E305" s="10" t="n">
        <x:v>121.580001831</x:v>
      </x:c>
      <x:c r="F305" s="10" t="n">
        <x:v>84.1100006104</x:v>
      </x:c>
      <x:c r="G305" s="11" t="n">
        <x:f>'Summary'!$C$18</x:f>
        <x:v>1000</x:v>
      </x:c>
      <x:c r="H305" s="12" t="n">
        <x:f>G305/E305</x:f>
        <x:v>8.225036888797149</x:v>
      </x:c>
      <x:c r="I305" s="11" t="n">
        <x:f>H305*F305</x:f>
        <x:v>691.8078577372906</x:v>
      </x:c>
      <x:c r="J305" s="10" t="n">
        <x:v>370.420595633</x:v>
      </x:c>
      <x:c r="K305" s="10" t="n">
        <x:v>778.570007324</x:v>
      </x:c>
      <x:c r="L305" s="11" t="n">
        <x:f>G305*K305/J305</x:f>
        <x:v>2101.8539911192747</x:v>
      </x:c>
      <x:c r="M305" s="2" t="str">
        <x:v>current price</x:v>
      </x:c>
      <x:c r="N305" s="8" t="d">
        <x:v>2026-10-09T00:00:00.000Z</x:v>
      </x:c>
      <x:c r="O305" s="11" t="n">
        <x:f>I305-L305</x:f>
        <x:v>-1410.046133381984</x:v>
      </x:c>
    </x:row>
    <x:row r="306" ht="22" customHeight="1">
      <x:c r="A306" s="8" t="d">
        <x:v>2022-12-01T00:00:00.000Z</x:v>
      </x:c>
      <x:c r="B306" s="8" t="d">
        <x:v>2022-11-30T00:00:00.000Z</x:v>
      </x:c>
      <x:c r="C306" s="2" t="str">
        <x:v>ABMD</x:v>
      </x:c>
      <x:c r="D306" s="9" t="n">
        <x:v>0.4986908918</x:v>
      </x:c>
      <x:c r="E306" s="10" t="n">
        <x:v>377.85</x:v>
      </x:c>
      <x:c r="F306" s="10" t="n">
        <x:v>0</x:v>
      </x:c>
      <x:c r="G306" s="11" t="n">
        <x:f>'Summary'!$C$18</x:f>
        <x:v>1000</x:v>
      </x:c>
      <x:c r="H306" s="12" t="n">
        <x:f>G306/E306</x:f>
        <x:v>2.646552864893476</x:v>
      </x:c>
      <x:c r="I306" s="11" t="n">
        <x:f>H306*F306</x:f>
        <x:v>0</x:v>
      </x:c>
      <x:c r="J306" s="10" t="n">
        <x:v>388.1089278782</x:v>
      </x:c>
      <x:c r="K306" s="10" t="n">
        <x:v>778.570007324</x:v>
      </x:c>
      <x:c r="L306" s="11" t="n">
        <x:f>G306*K306/J306</x:f>
        <x:v>2006.0605448590406</x:v>
      </x:c>
      <x:c r="M306" s="2" t="str">
        <x:v>written off ($0 rule)</x:v>
      </x:c>
      <x:c r="N306" s="8" t="d">
        <x:v>2022-12-21T00:00:00.000Z</x:v>
      </x:c>
      <x:c r="O306" s="11" t="n">
        <x:f>I306-L306</x:f>
        <x:v>-2006.0605448590406</x:v>
      </x:c>
    </x:row>
    <x:row r="307" ht="22" customHeight="1">
      <x:c r="A307" s="8" t="d">
        <x:v>2023-01-03T00:00:00.000Z</x:v>
      </x:c>
      <x:c r="B307" s="8" t="d">
        <x:v>2022-12-30T00:00:00.000Z</x:v>
      </x:c>
      <x:c r="C307" s="2" t="str">
        <x:v>UHS</x:v>
      </x:c>
      <x:c r="D307" s="9" t="n">
        <x:v>0.0767290242</x:v>
      </x:c>
      <x:c r="E307" s="10" t="n">
        <x:v>140.0308489095</x:v>
      </x:c>
      <x:c r="F307" s="10" t="n">
        <x:v>177.350006104</x:v>
      </x:c>
      <x:c r="G307" s="11" t="n">
        <x:f>'Summary'!$C$18</x:f>
        <x:v>1000</x:v>
      </x:c>
      <x:c r="H307" s="12" t="n">
        <x:f>G307/E307</x:f>
        <x:v>7.1412835656397835</x:v>
      </x:c>
      <x:c r="I307" s="11" t="n">
        <x:f>H307*F307</x:f>
        <x:v>1266.5066839566105</x:v>
      </x:c>
      <x:c r="J307" s="10" t="n">
        <x:v>366.6180308561</x:v>
      </x:c>
      <x:c r="K307" s="10" t="n">
        <x:v>778.570007324</x:v>
      </x:c>
      <x:c r="L307" s="11" t="n">
        <x:f>G307*K307/J307</x:f>
        <x:v>2123.6544353968065</x:v>
      </x:c>
      <x:c r="M307" s="2" t="str">
        <x:v>current price</x:v>
      </x:c>
      <x:c r="N307" s="8" t="d">
        <x:v>2026-10-09T00:00:00.000Z</x:v>
      </x:c>
      <x:c r="O307" s="11" t="n">
        <x:f>I307-L307</x:f>
        <x:v>-857.1477514401961</x:v>
      </x:c>
    </x:row>
    <x:row r="308" ht="22" customHeight="1">
      <x:c r="A308" s="8" t="d">
        <x:v>2023-02-01T00:00:00.000Z</x:v>
      </x:c>
      <x:c r="B308" s="8" t="d">
        <x:v>2023-01-31T00:00:00.000Z</x:v>
      </x:c>
      <x:c r="C308" s="2" t="str">
        <x:v>WBD</x:v>
      </x:c>
      <x:c r="D308" s="9" t="n">
        <x:v>0.5632911825</x:v>
      </x:c>
      <x:c r="E308" s="10" t="n">
        <x:v>14.720000267</x:v>
      </x:c>
      <x:c r="F308" s="10" t="n">
        <x:v>0</x:v>
      </x:c>
      <x:c r="G308" s="11" t="n">
        <x:f>'Summary'!$C$18</x:f>
        <x:v>1000</x:v>
      </x:c>
      <x:c r="H308" s="12" t="n">
        <x:f>G308/E308</x:f>
        <x:v>67.93478137645471</x:v>
      </x:c>
      <x:c r="I308" s="11" t="n">
        <x:f>H308*F308</x:f>
        <x:v>0</x:v>
      </x:c>
      <x:c r="J308" s="10" t="n">
        <x:v>386.4955408523</x:v>
      </x:c>
      <x:c r="K308" s="10" t="n">
        <x:v>778.570007324</x:v>
      </x:c>
      <x:c r="L308" s="11" t="n">
        <x:f>G308*K308/J308</x:f>
        <x:v>2014.434644205978</x:v>
      </x:c>
      <x:c r="M308" s="2" t="str">
        <x:v>written off ($0 rule)</x:v>
      </x:c>
      <x:c r="N308" s="8" t="d">
        <x:v>2026-10-06T00:00:00.000Z</x:v>
      </x:c>
      <x:c r="O308" s="11" t="n">
        <x:f>I308-L308</x:f>
        <x:v>-2014.434644205978</x:v>
      </x:c>
    </x:row>
    <x:row r="309" ht="22" customHeight="1">
      <x:c r="A309" s="8" t="d">
        <x:v>2023-03-01T00:00:00.000Z</x:v>
      </x:c>
      <x:c r="B309" s="8" t="d">
        <x:v>2023-02-28T00:00:00.000Z</x:v>
      </x:c>
      <x:c r="C309" s="2" t="str">
        <x:v>CTLT</x:v>
      </x:c>
      <x:c r="D309" s="9" t="n">
        <x:v>0.2739495798</x:v>
      </x:c>
      <x:c r="E309" s="10" t="n">
        <x:v>67.65</x:v>
      </x:c>
      <x:c r="F309" s="10" t="n">
        <x:v>0</x:v>
      </x:c>
      <x:c r="G309" s="11" t="n">
        <x:f>'Summary'!$C$18</x:f>
        <x:v>1000</x:v>
      </x:c>
      <x:c r="H309" s="12" t="n">
        <x:f>G309/E309</x:f>
        <x:v>14.781966001478196</x:v>
      </x:c>
      <x:c r="I309" s="11" t="n">
        <x:f>H309*F309</x:f>
        <x:v>0</x:v>
      </x:c>
      <x:c r="J309" s="10" t="n">
        <x:v>377.1481613156</x:v>
      </x:c>
      <x:c r="K309" s="10" t="n">
        <x:v>778.570007324</x:v>
      </x:c>
      <x:c r="L309" s="11" t="n">
        <x:f>G309*K309/J309</x:f>
        <x:v>2064.3611375649466</x:v>
      </x:c>
      <x:c r="M309" s="2" t="str">
        <x:v>written off ($0 rule)</x:v>
      </x:c>
      <x:c r="N309" s="8" t="d">
        <x:v>2024-12-17T00:00:00.000Z</x:v>
      </x:c>
      <x:c r="O309" s="11" t="n">
        <x:f>I309-L309</x:f>
        <x:v>-2064.3611375649466</x:v>
      </x:c>
    </x:row>
    <x:row r="310" ht="22" customHeight="1">
      <x:c r="A310" s="8" t="d">
        <x:v>2023-04-03T00:00:00.000Z</x:v>
      </x:c>
      <x:c r="B310" s="8" t="d">
        <x:v>2023-03-31T00:00:00.000Z</x:v>
      </x:c>
      <x:c r="C310" s="2" t="str">
        <x:v>INTC</x:v>
      </x:c>
      <x:c r="D310" s="9" t="n">
        <x:v>0.3104692246</x:v>
      </x:c>
      <x:c r="E310" s="10" t="n">
        <x:v>32.1503437539</x:v>
      </x:c>
      <x:c r="F310" s="10" t="n">
        <x:v>104.699996948</x:v>
      </x:c>
      <x:c r="G310" s="11" t="n">
        <x:f>'Summary'!$C$18</x:f>
        <x:v>1000</x:v>
      </x:c>
      <x:c r="H310" s="12" t="n">
        <x:f>G310/E310</x:f>
        <x:v>31.103866498431913</x:v>
      </x:c>
      <x:c r="I310" s="11" t="n">
        <x:f>H310*F310</x:f>
        <x:v>3256.5747274568207</x:v>
      </x:c>
      <x:c r="J310" s="10" t="n">
        <x:v>391.455747686</x:v>
      </x:c>
      <x:c r="K310" s="10" t="n">
        <x:v>778.570007324</x:v>
      </x:c>
      <x:c r="L310" s="11" t="n">
        <x:f>G310*K310/J310</x:f>
        <x:v>1988.909377180783</x:v>
      </x:c>
      <x:c r="M310" s="2" t="str">
        <x:v>current price</x:v>
      </x:c>
      <x:c r="N310" s="8" t="d">
        <x:v>2026-10-09T00:00:00.000Z</x:v>
      </x:c>
      <x:c r="O310" s="11" t="n">
        <x:f>I310-L310</x:f>
        <x:v>1267.6653502760378</x:v>
      </x:c>
    </x:row>
    <x:row r="311" ht="22" customHeight="1">
      <x:c r="A311" s="8" t="d">
        <x:v>2023-05-01T00:00:00.000Z</x:v>
      </x:c>
      <x:c r="B311" s="8" t="d">
        <x:v>2023-04-28T00:00:00.000Z</x:v>
      </x:c>
      <x:c r="C311" s="2" t="str">
        <x:v>CMG</x:v>
      </x:c>
      <x:c r="D311" s="9" t="n">
        <x:v>0.2103449627</x:v>
      </x:c>
      <x:c r="E311" s="10" t="n">
        <x:v>41.0999984741</x:v>
      </x:c>
      <x:c r="F311" s="10" t="n">
        <x:v>31.5900001526</x:v>
      </x:c>
      <x:c r="G311" s="11" t="n">
        <x:f>'Summary'!$C$18</x:f>
        <x:v>1000</x:v>
      </x:c>
      <x:c r="H311" s="12" t="n">
        <x:f>G311/E311</x:f>
        <x:v>24.33090114663071</x:v>
      </x:c>
      <x:c r="I311" s="11" t="n">
        <x:f>H311*F311</x:f>
        <x:v>768.6131709349595</x:v>
      </x:c>
      <x:c r="J311" s="10" t="n">
        <x:v>397.7940994026</x:v>
      </x:c>
      <x:c r="K311" s="10" t="n">
        <x:v>778.570007324</x:v>
      </x:c>
      <x:c r="L311" s="11" t="n">
        <x:f>G311*K311/J311</x:f>
        <x:v>1957.2185924659072</x:v>
      </x:c>
      <x:c r="M311" s="2" t="str">
        <x:v>current price</x:v>
      </x:c>
      <x:c r="N311" s="8" t="d">
        <x:v>2026-10-09T00:00:00.000Z</x:v>
      </x:c>
      <x:c r="O311" s="11" t="n">
        <x:f>I311-L311</x:f>
        <x:v>-1188.6054215309478</x:v>
      </x:c>
    </x:row>
    <x:row r="312" ht="22" customHeight="1">
      <x:c r="A312" s="8" t="d">
        <x:v>2023-06-01T00:00:00.000Z</x:v>
      </x:c>
      <x:c r="B312" s="8" t="d">
        <x:v>2023-05-31T00:00:00.000Z</x:v>
      </x:c>
      <x:c r="C312" s="2" t="str">
        <x:v>NVDA</x:v>
      </x:c>
      <x:c r="D312" s="9" t="n">
        <x:v>0.36343648</x:v>
      </x:c>
      <x:c r="E312" s="10" t="n">
        <x:v>38.3672565106</x:v>
      </x:c>
      <x:c r="F312" s="10" t="n">
        <x:v>229.279998779</x:v>
      </x:c>
      <x:c r="G312" s="11" t="n">
        <x:f>'Summary'!$C$18</x:f>
        <x:v>1000</x:v>
      </x:c>
      <x:c r="H312" s="12" t="n">
        <x:f>G312/E312</x:f>
        <x:v>26.06389121733848</x:v>
      </x:c>
      <x:c r="I312" s="11" t="n">
        <x:f>H312*F312</x:f>
        <x:v>5975.9289464873555</x:v>
      </x:c>
      <x:c r="J312" s="10" t="n">
        <x:v>400.3026285269</x:v>
      </x:c>
      <x:c r="K312" s="10" t="n">
        <x:v>778.570007324</x:v>
      </x:c>
      <x:c r="L312" s="11" t="n">
        <x:f>G312*K312/J312</x:f>
        <x:v>1944.9535222616726</x:v>
      </x:c>
      <x:c r="M312" s="2" t="str">
        <x:v>current price</x:v>
      </x:c>
      <x:c r="N312" s="8" t="d">
        <x:v>2026-10-09T00:00:00.000Z</x:v>
      </x:c>
      <x:c r="O312" s="11" t="n">
        <x:f>I312-L312</x:f>
        <x:v>4030.975424225683</x:v>
      </x:c>
    </x:row>
    <x:row r="313" ht="22" customHeight="1">
      <x:c r="A313" s="8" t="d">
        <x:v>2023-07-03T00:00:00.000Z</x:v>
      </x:c>
      <x:c r="B313" s="8" t="d">
        <x:v>2023-06-30T00:00:00.000Z</x:v>
      </x:c>
      <x:c r="C313" s="2" t="str">
        <x:v>CCL</x:v>
      </x:c>
      <x:c r="D313" s="9" t="n">
        <x:v>0.6767587437</x:v>
      </x:c>
      <x:c r="E313" s="10" t="n">
        <x:v>18.2566221596</x:v>
      </x:c>
      <x:c r="F313" s="10" t="n">
        <x:v>26.3500003815</x:v>
      </x:c>
      <x:c r="G313" s="11" t="n">
        <x:f>'Summary'!$C$18</x:f>
        <x:v>1000</x:v>
      </x:c>
      <x:c r="H313" s="12" t="n">
        <x:f>G313/E313</x:f>
        <x:v>54.774645126462424</x:v>
      </x:c>
      <x:c r="I313" s="11" t="n">
        <x:f>H313*F313</x:f>
        <x:v>1443.311919978812</x:v>
      </x:c>
      <x:c r="J313" s="10" t="n">
        <x:v>425.6515447814</x:v>
      </x:c>
      <x:c r="K313" s="10" t="n">
        <x:v>778.570007324</x:v>
      </x:c>
      <x:c r="L313" s="11" t="n">
        <x:f>G313*K313/J313</x:f>
        <x:v>1829.125294785073</x:v>
      </x:c>
      <x:c r="M313" s="2" t="str">
        <x:v>current price</x:v>
      </x:c>
      <x:c r="N313" s="8" t="d">
        <x:v>2026-10-09T00:00:00.000Z</x:v>
      </x:c>
      <x:c r="O313" s="11" t="n">
        <x:f>I313-L313</x:f>
        <x:v>-385.813374806261</x:v>
      </x:c>
    </x:row>
    <x:row r="314" ht="22" customHeight="1">
      <x:c r="A314" s="8" t="d">
        <x:v>2023-08-01T00:00:00.000Z</x:v>
      </x:c>
      <x:c r="B314" s="8" t="d">
        <x:v>2023-07-31T00:00:00.000Z</x:v>
      </x:c>
      <x:c r="C314" s="2" t="str">
        <x:v>ZION</x:v>
      </x:c>
      <x:c r="D314" s="9" t="n">
        <x:v>0.4240506006</x:v>
      </x:c>
      <x:c r="E314" s="10" t="n">
        <x:v>34.4663552501</x:v>
      </x:c>
      <x:c r="F314" s="10" t="n">
        <x:v>62.4900016785</x:v>
      </x:c>
      <x:c r="G314" s="11" t="n">
        <x:f>'Summary'!$C$18</x:f>
        <x:v>1000</x:v>
      </x:c>
      <x:c r="H314" s="12" t="n">
        <x:f>G314/E314</x:f>
        <x:v>29.013801800151136</x:v>
      </x:c>
      <x:c r="I314" s="11" t="n">
        <x:f>H314*F314</x:f>
        <x:v>1813.0725231911108</x:v>
      </x:c>
      <x:c r="J314" s="10" t="n">
        <x:v>438.4810344377</x:v>
      </x:c>
      <x:c r="K314" s="10" t="n">
        <x:v>778.570007324</x:v>
      </x:c>
      <x:c r="L314" s="11" t="n">
        <x:f>G314*K314/J314</x:f>
        <x:v>1775.6070301248578</x:v>
      </x:c>
      <x:c r="M314" s="2" t="str">
        <x:v>current price</x:v>
      </x:c>
      <x:c r="N314" s="8" t="d">
        <x:v>2026-10-09T00:00:00.000Z</x:v>
      </x:c>
      <x:c r="O314" s="11" t="n">
        <x:f>I314-L314</x:f>
        <x:v>37.465493066252975</x:v>
      </x:c>
    </x:row>
    <x:row r="315" ht="22" customHeight="1">
      <x:c r="A315" s="8" t="d">
        <x:v>2023-09-01T00:00:00.000Z</x:v>
      </x:c>
      <x:c r="B315" s="8" t="d">
        <x:v>2023-08-31T00:00:00.000Z</x:v>
      </x:c>
      <x:c r="C315" s="2" t="str">
        <x:v>ANET</x:v>
      </x:c>
      <x:c r="D315" s="9" t="n">
        <x:v>0.258817463</x:v>
      </x:c>
      <x:c r="E315" s="10" t="n">
        <x:v>49.4449996948</x:v>
      </x:c>
      <x:c r="F315" s="10" t="n">
        <x:v>216.740005493</x:v>
      </x:c>
      <x:c r="G315" s="11" t="n">
        <x:f>'Summary'!$C$18</x:f>
        <x:v>1000</x:v>
      </x:c>
      <x:c r="H315" s="12" t="n">
        <x:f>G315/E315</x:f>
        <x:v>20.224491984478004</x:v>
      </x:c>
      <x:c r="I315" s="11" t="n">
        <x:f>H315*F315</x:f>
        <x:v>4383.456503808898</x:v>
      </x:c>
      <x:c r="J315" s="10" t="n">
        <x:v>435.5019200225</x:v>
      </x:c>
      <x:c r="K315" s="10" t="n">
        <x:v>778.570007324</x:v>
      </x:c>
      <x:c r="L315" s="11" t="n">
        <x:f>G315*K315/J315</x:f>
        <x:v>1787.7533290410652</x:v>
      </x:c>
      <x:c r="M315" s="2" t="str">
        <x:v>current price</x:v>
      </x:c>
      <x:c r="N315" s="8" t="d">
        <x:v>2026-10-09T00:00:00.000Z</x:v>
      </x:c>
      <x:c r="O315" s="11" t="n">
        <x:f>I315-L315</x:f>
        <x:v>2595.7031747678325</x:v>
      </x:c>
    </x:row>
    <x:row r="316" ht="22" customHeight="1">
      <x:c r="A316" s="8" t="d">
        <x:v>2023-10-02T00:00:00.000Z</x:v>
      </x:c>
      <x:c r="B316" s="8" t="d">
        <x:v>2023-09-29T00:00:00.000Z</x:v>
      </x:c>
      <x:c r="C316" s="2" t="str">
        <x:v>CNC</x:v>
      </x:c>
      <x:c r="D316" s="9" t="n">
        <x:v>0.117274867</x:v>
      </x:c>
      <x:c r="E316" s="10" t="n">
        <x:v>68.6699981689</x:v>
      </x:c>
      <x:c r="F316" s="10" t="n">
        <x:v>65.3600006104</x:v>
      </x:c>
      <x:c r="G316" s="11" t="n">
        <x:f>'Summary'!$C$18</x:f>
        <x:v>1000</x:v>
      </x:c>
      <x:c r="H316" s="12" t="n">
        <x:f>G316/E316</x:f>
        <x:v>14.56240027181027</x:v>
      </x:c>
      <x:c r="I316" s="11" t="n">
        <x:f>H316*F316</x:f>
        <x:v>951.7984906544083</x:v>
      </x:c>
      <x:c r="J316" s="10" t="n">
        <x:v>411.4332017022</x:v>
      </x:c>
      <x:c r="K316" s="10" t="n">
        <x:v>778.570007324</x:v>
      </x:c>
      <x:c r="L316" s="11" t="n">
        <x:f>G316*K316/J316</x:f>
        <x:v>1892.3363600770795</x:v>
      </x:c>
      <x:c r="M316" s="2" t="str">
        <x:v>current price</x:v>
      </x:c>
      <x:c r="N316" s="8" t="d">
        <x:v>2026-10-09T00:00:00.000Z</x:v>
      </x:c>
      <x:c r="O316" s="11" t="n">
        <x:f>I316-L316</x:f>
        <x:v>-940.5378694226712</x:v>
      </x:c>
    </x:row>
    <x:row r="317" ht="22" customHeight="1">
      <x:c r="A317" s="8" t="d">
        <x:v>2023-11-01T00:00:00.000Z</x:v>
      </x:c>
      <x:c r="B317" s="8" t="d">
        <x:v>2023-10-31T00:00:00.000Z</x:v>
      </x:c>
      <x:c r="C317" s="2" t="str">
        <x:v>ALL</x:v>
      </x:c>
      <x:c r="D317" s="9" t="n">
        <x:v>0.1500763008</x:v>
      </x:c>
      <x:c r="E317" s="10" t="n">
        <x:v>121.3493345014</x:v>
      </x:c>
      <x:c r="F317" s="10" t="n">
        <x:v>229.429992676</x:v>
      </x:c>
      <x:c r="G317" s="11" t="n">
        <x:f>'Summary'!$C$18</x:f>
        <x:v>1000</x:v>
      </x:c>
      <x:c r="H317" s="12" t="n">
        <x:f>G317/E317</x:f>
        <x:v>8.240671480472463</x:v>
      </x:c>
      <x:c r="I317" s="11" t="n">
        <x:f>H317*F317</x:f>
        <x:v>1890.6571974101194</x:v>
      </x:c>
      <x:c r="J317" s="10" t="n">
        <x:v>404.2773549067</x:v>
      </x:c>
      <x:c r="K317" s="10" t="n">
        <x:v>778.570007324</x:v>
      </x:c>
      <x:c r="L317" s="11" t="n">
        <x:f>G317*K317/J317</x:f>
        <x:v>1925.8313577906931</x:v>
      </x:c>
      <x:c r="M317" s="2" t="str">
        <x:v>current price</x:v>
      </x:c>
      <x:c r="N317" s="8" t="d">
        <x:v>2026-10-09T00:00:00.000Z</x:v>
      </x:c>
      <x:c r="O317" s="11" t="n">
        <x:f>I317-L317</x:f>
        <x:v>-35.17416038057377</x:v>
      </x:c>
    </x:row>
    <x:row r="318" ht="22" customHeight="1">
      <x:c r="A318" s="8" t="d">
        <x:v>2023-12-01T00:00:00.000Z</x:v>
      </x:c>
      <x:c r="B318" s="8" t="d">
        <x:v>2023-11-30T00:00:00.000Z</x:v>
      </x:c>
      <x:c r="C318" s="2" t="str">
        <x:v>EXPE</x:v>
      </x:c>
      <x:c r="D318" s="9" t="n">
        <x:v>0.4291110438</x:v>
      </x:c>
      <x:c r="E318" s="10" t="n">
        <x:v>134.1896861001</x:v>
      </x:c>
      <x:c r="F318" s="10" t="n">
        <x:v>274.220001221</x:v>
      </x:c>
      <x:c r="G318" s="11" t="n">
        <x:f>'Summary'!$C$18</x:f>
        <x:v>1000</x:v>
      </x:c>
      <x:c r="H318" s="12" t="n">
        <x:f>G318/E318</x:f>
        <x:v>7.452137560363924</x:v>
      </x:c>
      <x:c r="I318" s="11" t="n">
        <x:f>H318*F318</x:f>
        <x:v>2043.5251709020552</x:v>
      </x:c>
      <x:c r="J318" s="10" t="n">
        <x:v>439.5455158359</x:v>
      </x:c>
      <x:c r="K318" s="10" t="n">
        <x:v>778.570007324</x:v>
      </x:c>
      <x:c r="L318" s="11" t="n">
        <x:f>G318*K318/J318</x:f>
        <x:v>1771.3069051412447</x:v>
      </x:c>
      <x:c r="M318" s="2" t="str">
        <x:v>current price</x:v>
      </x:c>
      <x:c r="N318" s="8" t="d">
        <x:v>2026-10-09T00:00:00.000Z</x:v>
      </x:c>
      <x:c r="O318" s="11" t="n">
        <x:f>I318-L318</x:f>
        <x:v>272.2182657608105</x:v>
      </x:c>
    </x:row>
    <x:row r="319" ht="22" customHeight="1">
      <x:c r="A319" s="8" t="d">
        <x:v>2024-01-02T00:00:00.000Z</x:v>
      </x:c>
      <x:c r="B319" s="8" t="d">
        <x:v>2023-12-29T00:00:00.000Z</x:v>
      </x:c>
      <x:c r="C319" s="2" t="str">
        <x:v>ILMN</x:v>
      </x:c>
      <x:c r="D319" s="9" t="n">
        <x:v>0.3657675006</x:v>
      </x:c>
      <x:c r="E319" s="10" t="n">
        <x:v>134.134246826</x:v>
      </x:c>
      <x:c r="F319" s="10" t="n">
        <x:v>278.170013428</x:v>
      </x:c>
      <x:c r="G319" s="11" t="n">
        <x:f>'Summary'!$C$18</x:f>
        <x:v>1000</x:v>
      </x:c>
      <x:c r="H319" s="12" t="n">
        <x:f>G319/E319</x:f>
        <x:v>7.4552176171474525</x:v>
      </x:c>
      <x:c r="I319" s="11" t="n">
        <x:f>H319*F319</x:f>
        <x:v>2073.817984670569</x:v>
      </x:c>
      <x:c r="J319" s="10" t="n">
        <x:v>457.1982691621</x:v>
      </x:c>
      <x:c r="K319" s="10" t="n">
        <x:v>778.570007324</x:v>
      </x:c>
      <x:c r="L319" s="11" t="n">
        <x:f>G319*K319/J319</x:f>
        <x:v>1702.9154741790096</x:v>
      </x:c>
      <x:c r="M319" s="2" t="str">
        <x:v>current price</x:v>
      </x:c>
      <x:c r="N319" s="8" t="d">
        <x:v>2026-10-09T00:00:00.000Z</x:v>
      </x:c>
      <x:c r="O319" s="11" t="n">
        <x:f>I319-L319</x:f>
        <x:v>370.90251049155927</x:v>
      </x:c>
    </x:row>
    <x:row r="320" ht="22" customHeight="1">
      <x:c r="A320" s="8" t="d">
        <x:v>2024-02-01T00:00:00.000Z</x:v>
      </x:c>
      <x:c r="B320" s="8" t="d">
        <x:v>2024-01-31T00:00:00.000Z</x:v>
      </x:c>
      <x:c r="C320" s="2" t="str">
        <x:v>JNPR</x:v>
      </x:c>
      <x:c r="D320" s="9" t="n">
        <x:v>0.2537313433</x:v>
      </x:c>
      <x:c r="E320" s="10" t="n">
        <x:v>35.6851399215</x:v>
      </x:c>
      <x:c r="F320" s="10" t="n">
        <x:v>0</x:v>
      </x:c>
      <x:c r="G320" s="11" t="n">
        <x:f>'Summary'!$C$18</x:f>
        <x:v>1000</x:v>
      </x:c>
      <x:c r="H320" s="12" t="n">
        <x:f>G320/E320</x:f>
        <x:v>28.022868964498812</x:v>
      </x:c>
      <x:c r="I320" s="11" t="n">
        <x:f>H320*F320</x:f>
        <x:v>0</x:v>
      </x:c>
      <x:c r="J320" s="10" t="n">
        <x:v>469.2731228781</x:v>
      </x:c>
      <x:c r="K320" s="10" t="n">
        <x:v>778.570007324</x:v>
      </x:c>
      <x:c r="L320" s="11" t="n">
        <x:f>G320*K320/J320</x:f>
        <x:v>1659.0978033196332</x:v>
      </x:c>
      <x:c r="M320" s="2" t="str">
        <x:v>written off ($0 rule)</x:v>
      </x:c>
      <x:c r="N320" s="8" t="d">
        <x:v>2025-07-01T00:00:00.000Z</x:v>
      </x:c>
      <x:c r="O320" s="11" t="n">
        <x:f>I320-L320</x:f>
        <x:v>-1659.0978033196332</x:v>
      </x:c>
    </x:row>
    <x:row r="321" ht="22" customHeight="1">
      <x:c r="A321" s="8" t="d">
        <x:v>2024-03-01T00:00:00.000Z</x:v>
      </x:c>
      <x:c r="B321" s="8" t="d">
        <x:v>2024-02-29T00:00:00.000Z</x:v>
      </x:c>
      <x:c r="C321" s="2" t="str">
        <x:v>CEG</x:v>
      </x:c>
      <x:c r="D321" s="9" t="n">
        <x:v>0.3807376799</x:v>
      </x:c>
      <x:c r="E321" s="10" t="n">
        <x:v>164.2352129996</x:v>
      </x:c>
      <x:c r="F321" s="10" t="n">
        <x:v>298.070007324</x:v>
      </x:c>
      <x:c r="G321" s="11" t="n">
        <x:f>'Summary'!$C$18</x:f>
        <x:v>1000</x:v>
      </x:c>
      <x:c r="H321" s="12" t="n">
        <x:f>G321/E321</x:f>
        <x:v>6.088828222254843</x:v>
      </x:c>
      <x:c r="I321" s="11" t="n">
        <x:f>H321*F321</x:f>
        <x:v>1814.897072802079</x:v>
      </x:c>
      <x:c r="J321" s="10" t="n">
        <x:v>492.8515296846</x:v>
      </x:c>
      <x:c r="K321" s="10" t="n">
        <x:v>778.570007324</x:v>
      </x:c>
      <x:c r="L321" s="11" t="n">
        <x:f>G321*K321/J321</x:f>
        <x:v>1579.725252800261</x:v>
      </x:c>
      <x:c r="M321" s="2" t="str">
        <x:v>current price</x:v>
      </x:c>
      <x:c r="N321" s="8" t="d">
        <x:v>2026-10-09T00:00:00.000Z</x:v>
      </x:c>
      <x:c r="O321" s="11" t="n">
        <x:f>I321-L321</x:f>
        <x:v>235.1718200018181</x:v>
      </x:c>
    </x:row>
    <x:row r="322" ht="22" customHeight="1">
      <x:c r="A322" s="8" t="d">
        <x:v>2024-04-01T00:00:00.000Z</x:v>
      </x:c>
      <x:c r="B322" s="8" t="d">
        <x:v>2024-03-28T00:00:00.000Z</x:v>
      </x:c>
      <x:c r="C322" s="2" t="str">
        <x:v>MU</x:v>
      </x:c>
      <x:c r="D322" s="9" t="n">
        <x:v>0.3023264188</x:v>
      </x:c>
      <x:c r="E322" s="10" t="n">
        <x:v>118.3515099115</x:v>
      </x:c>
      <x:c r="F322" s="10" t="n">
        <x:v>1029</x:v>
      </x:c>
      <x:c r="G322" s="11" t="n">
        <x:f>'Summary'!$C$18</x:f>
        <x:v>1000</x:v>
      </x:c>
      <x:c r="H322" s="12" t="n">
        <x:f>G322/E322</x:f>
        <x:v>8.44940635525286</x:v>
      </x:c>
      <x:c r="I322" s="11" t="n">
        <x:f>H322*F322</x:f>
        <x:v>8694.439139555192</x:v>
      </x:c>
      <x:c r="J322" s="10" t="n">
        <x:v>508.8069435827</x:v>
      </x:c>
      <x:c r="K322" s="10" t="n">
        <x:v>778.570007324</x:v>
      </x:c>
      <x:c r="L322" s="11" t="n">
        <x:f>G322*K322/J322</x:f>
        <x:v>1530.1874652924298</x:v>
      </x:c>
      <x:c r="M322" s="2" t="str">
        <x:v>current price</x:v>
      </x:c>
      <x:c r="N322" s="8" t="d">
        <x:v>2026-10-09T00:00:00.000Z</x:v>
      </x:c>
      <x:c r="O322" s="11" t="n">
        <x:f>I322-L322</x:f>
        <x:v>7164.251674262762</x:v>
      </x:c>
    </x:row>
    <x:row r="323" ht="22" customHeight="1">
      <x:c r="A323" s="8" t="d">
        <x:v>2024-05-01T00:00:00.000Z</x:v>
      </x:c>
      <x:c r="B323" s="8" t="d">
        <x:v>2024-04-30T00:00:00.000Z</x:v>
      </x:c>
      <x:c r="C323" s="2" t="str">
        <x:v>GE</x:v>
      </x:c>
      <x:c r="D323" s="9" t="n">
        <x:v>0.1603893272</x:v>
      </x:c>
      <x:c r="E323" s="10" t="n">
        <x:v>160.1973623005</x:v>
      </x:c>
      <x:c r="F323" s="10" t="n">
        <x:v>308.200012207</x:v>
      </x:c>
      <x:c r="G323" s="11" t="n">
        <x:f>'Summary'!$C$18</x:f>
        <x:v>1000</x:v>
      </x:c>
      <x:c r="H323" s="12" t="n">
        <x:f>G323/E323</x:f>
        <x:v>6.242300033156531</x:v>
      </x:c>
      <x:c r="I323" s="11" t="n">
        <x:f>H323*F323</x:f>
        <x:v>1923.8769464185993</x:v>
      </x:c>
      <x:c r="J323" s="10" t="n">
        <x:v>487.0007818093</x:v>
      </x:c>
      <x:c r="K323" s="10" t="n">
        <x:v>778.570007324</x:v>
      </x:c>
      <x:c r="L323" s="11" t="n">
        <x:f>G323*K323/J323</x:f>
        <x:v>1598.703814050288</x:v>
      </x:c>
      <x:c r="M323" s="2" t="str">
        <x:v>current price</x:v>
      </x:c>
      <x:c r="N323" s="8" t="d">
        <x:v>2026-10-09T00:00:00.000Z</x:v>
      </x:c>
      <x:c r="O323" s="11" t="n">
        <x:f>I323-L323</x:f>
        <x:v>325.17313236831137</x:v>
      </x:c>
    </x:row>
    <x:row r="324" ht="22" customHeight="1">
      <x:c r="A324" s="8" t="d">
        <x:v>2024-06-03T00:00:00.000Z</x:v>
      </x:c>
      <x:c r="B324" s="8" t="d">
        <x:v>2024-05-31T00:00:00.000Z</x:v>
      </x:c>
      <x:c r="C324" s="2" t="str">
        <x:v>FSLR</x:v>
      </x:c>
      <x:c r="D324" s="9" t="n">
        <x:v>0.5414634433</x:v>
      </x:c>
      <x:c r="E324" s="10" t="n">
        <x:v>273.260009766</x:v>
      </x:c>
      <x:c r="F324" s="10" t="n">
        <x:v>177.820007324</x:v>
      </x:c>
      <x:c r="G324" s="11" t="n">
        <x:f>'Summary'!$C$18</x:f>
        <x:v>1000</x:v>
      </x:c>
      <x:c r="H324" s="12" t="n">
        <x:f>G324/E324</x:f>
        <x:v>3.65951827659059</x:v>
      </x:c>
      <x:c r="I324" s="11" t="n">
        <x:f>H324*F324</x:f>
        <x:v>650.7355667456505</x:v>
      </x:c>
      <x:c r="J324" s="10" t="n">
        <x:v>513.8481004337</x:v>
      </x:c>
      <x:c r="K324" s="10" t="n">
        <x:v>778.570007324</x:v>
      </x:c>
      <x:c r="L324" s="11" t="n">
        <x:f>G324*K324/J324</x:f>
        <x:v>1515.1754120855335</x:v>
      </x:c>
      <x:c r="M324" s="2" t="str">
        <x:v>current price</x:v>
      </x:c>
      <x:c r="N324" s="8" t="d">
        <x:v>2026-10-09T00:00:00.000Z</x:v>
      </x:c>
      <x:c r="O324" s="11" t="n">
        <x:f>I324-L324</x:f>
        <x:v>-864.4398453398829</x:v>
      </x:c>
    </x:row>
    <x:row r="325" ht="22" customHeight="1">
      <x:c r="A325" s="8" t="d">
        <x:v>2024-07-01T00:00:00.000Z</x:v>
      </x:c>
      <x:c r="B325" s="8" t="d">
        <x:v>2024-06-28T00:00:00.000Z</x:v>
      </x:c>
      <x:c r="C325" s="2" t="str">
        <x:v>ADBE</x:v>
      </x:c>
      <x:c r="D325" s="9" t="n">
        <x:v>0.2490780777</x:v>
      </x:c>
      <x:c r="E325" s="10" t="n">
        <x:v>551.369995117</x:v>
      </x:c>
      <x:c r="F325" s="10" t="n">
        <x:v>242.270004272</x:v>
      </x:c>
      <x:c r="G325" s="11" t="n">
        <x:f>'Summary'!$C$18</x:f>
        <x:v>1000</x:v>
      </x:c>
      <x:c r="H325" s="12" t="n">
        <x:f>G325/E325</x:f>
        <x:v>1.8136641617355351</x:v>
      </x:c>
      <x:c r="I325" s="11" t="n">
        <x:f>H325*F325</x:f>
        <x:v>439.3964242116414</x:v>
      </x:c>
      <x:c r="J325" s="10" t="n">
        <x:v>531.6914952854</x:v>
      </x:c>
      <x:c r="K325" s="10" t="n">
        <x:v>778.570007324</x:v>
      </x:c>
      <x:c r="L325" s="11" t="n">
        <x:f>G325*K325/J325</x:f>
        <x:v>1464.326614639719</x:v>
      </x:c>
      <x:c r="M325" s="2" t="str">
        <x:v>current price</x:v>
      </x:c>
      <x:c r="N325" s="8" t="d">
        <x:v>2026-10-09T00:00:00.000Z</x:v>
      </x:c>
      <x:c r="O325" s="11" t="n">
        <x:f>I325-L325</x:f>
        <x:v>-1024.9301904280778</x:v>
      </x:c>
    </x:row>
    <x:row r="326" ht="22" customHeight="1">
      <x:c r="A326" s="8" t="d">
        <x:v>2024-08-01T00:00:00.000Z</x:v>
      </x:c>
      <x:c r="B326" s="8" t="d">
        <x:v>2024-07-31T00:00:00.000Z</x:v>
      </x:c>
      <x:c r="C326" s="2" t="str">
        <x:v>MHK</x:v>
      </x:c>
      <x:c r="D326" s="9" t="n">
        <x:v>0.417994652</x:v>
      </x:c>
      <x:c r="E326" s="10" t="n">
        <x:v>161.850006104</x:v>
      </x:c>
      <x:c r="F326" s="10" t="n">
        <x:v>118.069999695</x:v>
      </x:c>
      <x:c r="G326" s="11" t="n">
        <x:f>'Summary'!$C$18</x:f>
        <x:v>1000</x:v>
      </x:c>
      <x:c r="H326" s="12" t="n">
        <x:f>G326/E326</x:f>
        <x:v>6.178560162410064</x:v>
      </x:c>
      <x:c r="I326" s="11" t="n">
        <x:f>H326*F326</x:f>
        <x:v>729.5025964912954</x:v>
      </x:c>
      <x:c r="J326" s="10" t="n">
        <x:v>538.4542103885</x:v>
      </x:c>
      <x:c r="K326" s="10" t="n">
        <x:v>778.570007324</x:v>
      </x:c>
      <x:c r="L326" s="11" t="n">
        <x:f>G326*K326/J326</x:f>
        <x:v>1445.9354060250623</x:v>
      </x:c>
      <x:c r="M326" s="2" t="str">
        <x:v>current price</x:v>
      </x:c>
      <x:c r="N326" s="8" t="d">
        <x:v>2026-10-09T00:00:00.000Z</x:v>
      </x:c>
      <x:c r="O326" s="11" t="n">
        <x:f>I326-L326</x:f>
        <x:v>-716.4328095337669</x:v>
      </x:c>
    </x:row>
    <x:row r="327" ht="22" customHeight="1">
      <x:c r="A327" s="8" t="d">
        <x:v>2024-09-03T00:00:00.000Z</x:v>
      </x:c>
      <x:c r="B327" s="8" t="d">
        <x:v>2024-08-30T00:00:00.000Z</x:v>
      </x:c>
      <x:c r="C327" s="2" t="str">
        <x:v>K</x:v>
      </x:c>
      <x:c r="D327" s="9" t="n">
        <x:v>0.3862424764</x:v>
      </x:c>
      <x:c r="E327" s="10" t="n">
        <x:v>77.3824991572</x:v>
      </x:c>
      <x:c r="F327" s="10" t="n">
        <x:v>0</x:v>
      </x:c>
      <x:c r="G327" s="11" t="n">
        <x:f>'Summary'!$C$18</x:f>
        <x:v>1000</x:v>
      </x:c>
      <x:c r="H327" s="12" t="n">
        <x:f>G327/E327</x:f>
        <x:v>12.922818607454547</x:v>
      </x:c>
      <x:c r="I327" s="11" t="n">
        <x:f>H327*F327</x:f>
        <x:v>0</x:v>
      </x:c>
      <x:c r="J327" s="10" t="n">
        <x:v>546.1523635398</x:v>
      </x:c>
      <x:c r="K327" s="10" t="n">
        <x:v>778.570007324</x:v>
      </x:c>
      <x:c r="L327" s="11" t="n">
        <x:f>G327*K327/J327</x:f>
        <x:v>1425.5545875107484</x:v>
      </x:c>
      <x:c r="M327" s="2" t="str">
        <x:v>written off ($0 rule)</x:v>
      </x:c>
      <x:c r="N327" s="8" t="d">
        <x:v>2025-12-10T00:00:00.000Z</x:v>
      </x:c>
      <x:c r="O327" s="11" t="n">
        <x:f>I327-L327</x:f>
        <x:v>-1425.5545875107484</x:v>
      </x:c>
    </x:row>
    <x:row r="328" ht="22" customHeight="1">
      <x:c r="A328" s="8" t="d">
        <x:v>2024-10-01T00:00:00.000Z</x:v>
      </x:c>
      <x:c r="B328" s="8" t="d">
        <x:v>2024-09-30T00:00:00.000Z</x:v>
      </x:c>
      <x:c r="C328" s="2" t="str">
        <x:v>VST</x:v>
      </x:c>
      <x:c r="D328" s="9" t="n">
        <x:v>0.3908682258</x:v>
      </x:c>
      <x:c r="E328" s="10" t="n">
        <x:v>116.6530042083</x:v>
      </x:c>
      <x:c r="F328" s="10" t="n">
        <x:v>161.479995728</x:v>
      </x:c>
      <x:c r="G328" s="11" t="n">
        <x:f>'Summary'!$C$18</x:f>
        <x:v>1000</x:v>
      </x:c>
      <x:c r="H328" s="12" t="n">
        <x:f>G328/E328</x:f>
        <x:v>8.572432461442332</x:v>
      </x:c>
      <x:c r="I328" s="11" t="n">
        <x:f>H328*F328</x:f>
        <x:v>1384.2763572522765</x:v>
      </x:c>
      <x:c r="J328" s="10" t="n">
        <x:v>560.465958928</x:v>
      </x:c>
      <x:c r="K328" s="10" t="n">
        <x:v>778.570007324</x:v>
      </x:c>
      <x:c r="L328" s="11" t="n">
        <x:f>G328*K328/J328</x:f>
        <x:v>1389.1477170409537</x:v>
      </x:c>
      <x:c r="M328" s="2" t="str">
        <x:v>current price</x:v>
      </x:c>
      <x:c r="N328" s="8" t="d">
        <x:v>2026-10-09T00:00:00.000Z</x:v>
      </x:c>
      <x:c r="O328" s="11" t="n">
        <x:f>I328-L328</x:f>
        <x:v>-4.871359788677182</x:v>
      </x:c>
    </x:row>
    <x:row r="329" ht="22" customHeight="1">
      <x:c r="A329" s="8" t="d">
        <x:v>2024-11-01T00:00:00.000Z</x:v>
      </x:c>
      <x:c r="B329" s="8" t="d">
        <x:v>2024-10-31T00:00:00.000Z</x:v>
      </x:c>
      <x:c r="C329" s="2" t="str">
        <x:v>UAL</x:v>
      </x:c>
      <x:c r="D329" s="9" t="n">
        <x:v>0.3715387356</x:v>
      </x:c>
      <x:c r="E329" s="10" t="n">
        <x:v>79.1900024414</x:v>
      </x:c>
      <x:c r="F329" s="10" t="n">
        <x:v>107.459999084</x:v>
      </x:c>
      <x:c r="G329" s="11" t="n">
        <x:f>'Summary'!$C$18</x:f>
        <x:v>1000</x:v>
      </x:c>
      <x:c r="H329" s="12" t="n">
        <x:f>G329/E329</x:f>
        <x:v>12.62785666334576</x:v>
      </x:c>
      <x:c r="I329" s="11" t="n">
        <x:f>H329*F329</x:f>
        <x:v>1356.9894654760187</x:v>
      </x:c>
      <x:c r="J329" s="10" t="n">
        <x:v>558.4328603522</x:v>
      </x:c>
      <x:c r="K329" s="10" t="n">
        <x:v>778.570007324</x:v>
      </x:c>
      <x:c r="L329" s="11" t="n">
        <x:f>G329*K329/J329</x:f>
        <x:v>1394.205217137403</x:v>
      </x:c>
      <x:c r="M329" s="2" t="str">
        <x:v>current price</x:v>
      </x:c>
      <x:c r="N329" s="8" t="d">
        <x:v>2026-10-09T00:00:00.000Z</x:v>
      </x:c>
      <x:c r="O329" s="11" t="n">
        <x:f>I329-L329</x:f>
        <x:v>-37.215751661384274</x:v>
      </x:c>
    </x:row>
    <x:row r="330" ht="22" customHeight="1">
      <x:c r="A330" s="8" t="d">
        <x:v>2024-12-02T00:00:00.000Z</x:v>
      </x:c>
      <x:c r="B330" s="8" t="d">
        <x:v>2024-11-29T00:00:00.000Z</x:v>
      </x:c>
      <x:c r="C330" s="2" t="str">
        <x:v>PLTR</x:v>
      </x:c>
      <x:c r="D330" s="9" t="n">
        <x:v>0.6140519638</x:v>
      </x:c>
      <x:c r="E330" s="10" t="n">
        <x:v>67.4400024414</x:v>
      </x:c>
      <x:c r="F330" s="10" t="n">
        <x:v>209.050003052</x:v>
      </x:c>
      <x:c r="G330" s="11" t="n">
        <x:f>'Summary'!$C$18</x:f>
        <x:v>1000</x:v>
      </x:c>
      <x:c r="H330" s="12" t="n">
        <x:f>G330/E330</x:f>
        <x:v>14.82799471825228</x:v>
      </x:c>
      <x:c r="I330" s="11" t="n">
        <x:f>H330*F330</x:f>
        <x:v>3099.7923411056786</x:v>
      </x:c>
      <x:c r="J330" s="10" t="n">
        <x:v>589.3689020682</x:v>
      </x:c>
      <x:c r="K330" s="10" t="n">
        <x:v>778.570007324</x:v>
      </x:c>
      <x:c r="L330" s="11" t="n">
        <x:f>G330*K330/J330</x:f>
        <x:v>1321.0232243198782</x:v>
      </x:c>
      <x:c r="M330" s="2" t="str">
        <x:v>current price</x:v>
      </x:c>
      <x:c r="N330" s="8" t="d">
        <x:v>2026-10-09T00:00:00.000Z</x:v>
      </x:c>
      <x:c r="O330" s="11" t="n">
        <x:f>I330-L330</x:f>
        <x:v>1778.7691167858004</x:v>
      </x:c>
    </x:row>
    <x:row r="331" ht="22" customHeight="1">
      <x:c r="A331" s="8" t="d">
        <x:v>2025-01-02T00:00:00.000Z</x:v>
      </x:c>
      <x:c r="B331" s="8" t="d">
        <x:v>2024-12-31T00:00:00.000Z</x:v>
      </x:c>
      <x:c r="C331" s="2" t="str">
        <x:v>AVGO</x:v>
      </x:c>
      <x:c r="D331" s="9" t="n">
        <x:v>0.4342373009</x:v>
      </x:c>
      <x:c r="E331" s="10" t="n">
        <x:v>232.7622529771</x:v>
      </x:c>
      <x:c r="F331" s="10" t="n">
        <x:v>361.540008545</x:v>
      </x:c>
      <x:c r="G331" s="11" t="n">
        <x:f>'Summary'!$C$18</x:f>
        <x:v>1000</x:v>
      </x:c>
      <x:c r="H331" s="12" t="n">
        <x:f>G331/E331</x:f>
        <x:v>4.2962292519929495</x:v>
      </x:c>
      <x:c r="I331" s="11" t="n">
        <x:f>H331*F331</x:f>
        <x:v>1553.2587604768098</x:v>
      </x:c>
      <x:c r="J331" s="10" t="n">
        <x:v>578.0342106548</x:v>
      </x:c>
      <x:c r="K331" s="10" t="n">
        <x:v>778.570007324</x:v>
      </x:c>
      <x:c r="L331" s="11" t="n">
        <x:f>G331*K331/J331</x:f>
        <x:v>1346.927211180169</x:v>
      </x:c>
      <x:c r="M331" s="2" t="str">
        <x:v>current price</x:v>
      </x:c>
      <x:c r="N331" s="8" t="d">
        <x:v>2026-10-09T00:00:00.000Z</x:v>
      </x:c>
      <x:c r="O331" s="11" t="n">
        <x:f>I331-L331</x:f>
        <x:v>206.3315492966408</x:v>
      </x:c>
    </x:row>
    <x:row r="332" ht="22" customHeight="1">
      <x:c r="A332" s="8" t="d">
        <x:v>2025-02-03T00:00:00.000Z</x:v>
      </x:c>
      <x:c r="B332" s="8" t="d">
        <x:v>2025-01-31T00:00:00.000Z</x:v>
      </x:c>
      <x:c r="C332" s="2" t="str">
        <x:v>CEG</x:v>
      </x:c>
      <x:c r="D332" s="9" t="n">
        <x:v>0.3409324661</x:v>
      </x:c>
      <x:c r="E332" s="10" t="n">
        <x:v>282.5561210137</x:v>
      </x:c>
      <x:c r="F332" s="10" t="n">
        <x:v>298.070007324</x:v>
      </x:c>
      <x:c r="G332" s="11" t="n">
        <x:f>'Summary'!$C$18</x:f>
        <x:v>1000</x:v>
      </x:c>
      <x:c r="H332" s="12" t="n">
        <x:f>G332/E332</x:f>
        <x:v>3.539119932749622</x:v>
      </x:c>
      <x:c r="I332" s="11" t="n">
        <x:f>H332*F332</x:f>
        <x:v>1054.9055042751943</x:v>
      </x:c>
      <x:c r="J332" s="10" t="n">
        <x:v>581.2509836206</x:v>
      </x:c>
      <x:c r="K332" s="10" t="n">
        <x:v>778.570007324</x:v>
      </x:c>
      <x:c r="L332" s="11" t="n">
        <x:f>G332*K332/J332</x:f>
        <x:v>1339.4730146937627</x:v>
      </x:c>
      <x:c r="M332" s="2" t="str">
        <x:v>current price</x:v>
      </x:c>
      <x:c r="N332" s="8" t="d">
        <x:v>2026-10-09T00:00:00.000Z</x:v>
      </x:c>
      <x:c r="O332" s="11" t="n">
        <x:f>I332-L332</x:f>
        <x:v>-284.5675104185684</x:v>
      </x:c>
    </x:row>
    <x:row r="333" ht="22" customHeight="1">
      <x:c r="A333" s="8" t="d">
        <x:v>2025-03-03T00:00:00.000Z</x:v>
      </x:c>
      <x:c r="B333" s="8" t="d">
        <x:v>2025-02-28T00:00:00.000Z</x:v>
      </x:c>
      <x:c r="C333" s="2" t="str">
        <x:v>SMCI</x:v>
      </x:c>
      <x:c r="D333" s="9" t="n">
        <x:v>0.4537166346</x:v>
      </x:c>
      <x:c r="E333" s="10" t="n">
        <x:v>42.2799987793</x:v>
      </x:c>
      <x:c r="F333" s="10" t="n">
        <x:v>41.8600006104</x:v>
      </x:c>
      <x:c r="G333" s="11" t="n">
        <x:f>'Summary'!$C$18</x:f>
        <x:v>1000</x:v>
      </x:c>
      <x:c r="H333" s="12" t="n">
        <x:f>G333/E333</x:f>
        <x:v>23.651845526769343</x:v>
      </x:c>
      <x:c r="I333" s="11" t="n">
        <x:f>H333*F333</x:f>
        <x:v>990.0662681876512</x:v>
      </x:c>
      <x:c r="J333" s="10" t="n">
        <x:v>584.6933658697</x:v>
      </x:c>
      <x:c r="K333" s="10" t="n">
        <x:v>778.570007324</x:v>
      </x:c>
      <x:c r="L333" s="11" t="n">
        <x:f>G333*K333/J333</x:f>
        <x:v>1331.5868671879302</x:v>
      </x:c>
      <x:c r="M333" s="2" t="str">
        <x:v>current price</x:v>
      </x:c>
      <x:c r="N333" s="8" t="d">
        <x:v>2026-10-09T00:00:00.000Z</x:v>
      </x:c>
      <x:c r="O333" s="11" t="n">
        <x:f>I333-L333</x:f>
        <x:v>-341.52059900027905</x:v>
      </x:c>
    </x:row>
    <x:row r="334" ht="22" customHeight="1">
      <x:c r="A334" s="8" t="d">
        <x:v>2025-04-01T00:00:00.000Z</x:v>
      </x:c>
      <x:c r="B334" s="8" t="d">
        <x:v>2025-03-31T00:00:00.000Z</x:v>
      </x:c>
      <x:c r="C334" s="2" t="str">
        <x:v>DG</x:v>
      </x:c>
      <x:c r="D334" s="9" t="n">
        <x:v>0.1853599345</x:v>
      </x:c>
      <x:c r="E334" s="10" t="n">
        <x:v>85.3019109355</x:v>
      </x:c>
      <x:c r="F334" s="10" t="n">
        <x:v>127.230003357</x:v>
      </x:c>
      <x:c r="G334" s="11" t="n">
        <x:f>'Summary'!$C$18</x:f>
        <x:v>1000</x:v>
      </x:c>
      <x:c r="H334" s="12" t="n">
        <x:f>G334/E334</x:f>
        <x:v>11.723066799243663</x:v>
      </x:c>
      <x:c r="I334" s="11" t="n">
        <x:f>H334*F334</x:f>
        <x:v>1491.5258282221064</x:v>
      </x:c>
      <x:c r="J334" s="10" t="n">
        <x:v>548.3542045658</x:v>
      </x:c>
      <x:c r="K334" s="10" t="n">
        <x:v>778.570007324</x:v>
      </x:c>
      <x:c r="L334" s="11" t="n">
        <x:f>G334*K334/J334</x:f>
        <x:v>1419.8304687760904</x:v>
      </x:c>
      <x:c r="M334" s="2" t="str">
        <x:v>current price</x:v>
      </x:c>
      <x:c r="N334" s="8" t="d">
        <x:v>2026-10-09T00:00:00.000Z</x:v>
      </x:c>
      <x:c r="O334" s="11" t="n">
        <x:f>I334-L334</x:f>
        <x:v>71.69535944601603</x:v>
      </x:c>
    </x:row>
    <x:row r="335" ht="22" customHeight="1">
      <x:c r="A335" s="8" t="d">
        <x:v>2025-05-01T00:00:00.000Z</x:v>
      </x:c>
      <x:c r="B335" s="8" t="d">
        <x:v>2025-04-30T00:00:00.000Z</x:v>
      </x:c>
      <x:c r="C335" s="2" t="str">
        <x:v>PLTR</x:v>
      </x:c>
      <x:c r="D335" s="9" t="n">
        <x:v>0.4033175391</x:v>
      </x:c>
      <x:c r="E335" s="10" t="n">
        <x:v>120.040000916</x:v>
      </x:c>
      <x:c r="F335" s="10" t="n">
        <x:v>209.050003052</x:v>
      </x:c>
      <x:c r="G335" s="11" t="n">
        <x:f>'Summary'!$C$18</x:f>
        <x:v>1000</x:v>
      </x:c>
      <x:c r="H335" s="12" t="n">
        <x:f>G335/E335</x:f>
        <x:v>8.330556417604218</x:v>
      </x:c>
      <x:c r="I335" s="11" t="n">
        <x:f>H335*F335</x:f>
        <x:v>1741.5028445250198</x:v>
      </x:c>
      <x:c r="J335" s="10" t="n">
        <x:v>551.2265426598</x:v>
      </x:c>
      <x:c r="K335" s="10" t="n">
        <x:v>778.570007324</x:v>
      </x:c>
      <x:c r="L335" s="11" t="n">
        <x:f>G335*K335/J335</x:f>
        <x:v>1412.4319985884813</x:v>
      </x:c>
      <x:c r="M335" s="2" t="str">
        <x:v>current price</x:v>
      </x:c>
      <x:c r="N335" s="8" t="d">
        <x:v>2026-10-09T00:00:00.000Z</x:v>
      </x:c>
      <x:c r="O335" s="11" t="n">
        <x:f>I335-L335</x:f>
        <x:v>329.0708459365385</x:v>
      </x:c>
    </x:row>
    <x:row r="336" ht="22" customHeight="1">
      <x:c r="A336" s="8" t="d">
        <x:v>2025-06-02T00:00:00.000Z</x:v>
      </x:c>
      <x:c r="B336" s="8" t="d">
        <x:v>2025-05-30T00:00:00.000Z</x:v>
      </x:c>
      <x:c r="C336" s="2" t="str">
        <x:v>NRG</x:v>
      </x:c>
      <x:c r="D336" s="9" t="n">
        <x:v>0.4284404552</x:v>
      </x:c>
      <x:c r="E336" s="10" t="n">
        <x:v>154.22226855</x:v>
      </x:c>
      <x:c r="F336" s="10" t="n">
        <x:v>107.970001221</x:v>
      </x:c>
      <x:c r="G336" s="11" t="n">
        <x:f>'Summary'!$C$18</x:f>
        <x:v>1000</x:v>
      </x:c>
      <x:c r="H336" s="12" t="n">
        <x:f>G336/E336</x:f>
        <x:v>6.484147908094042</x:v>
      </x:c>
      <x:c r="I336" s="11" t="n">
        <x:f>H336*F336</x:f>
        <x:v>700.0934575540583</x:v>
      </x:c>
      <x:c r="J336" s="10" t="n">
        <x:v>578.1696395598</x:v>
      </x:c>
      <x:c r="K336" s="10" t="n">
        <x:v>778.570007324</x:v>
      </x:c>
      <x:c r="L336" s="11" t="n">
        <x:f>G336*K336/J336</x:f>
        <x:v>1346.611710564357</x:v>
      </x:c>
      <x:c r="M336" s="2" t="str">
        <x:v>current price</x:v>
      </x:c>
      <x:c r="N336" s="8" t="d">
        <x:v>2026-10-09T00:00:00.000Z</x:v>
      </x:c>
      <x:c r="O336" s="11" t="n">
        <x:f>I336-L336</x:f>
        <x:v>-646.5182530102987</x:v>
      </x:c>
    </x:row>
    <x:row r="337" ht="22" customHeight="1">
      <x:c r="A337" s="8" t="d">
        <x:v>2025-07-01T00:00:00.000Z</x:v>
      </x:c>
      <x:c r="B337" s="8" t="d">
        <x:v>2025-06-30T00:00:00.000Z</x:v>
      </x:c>
      <x:c r="C337" s="2" t="str">
        <x:v>COIN</x:v>
      </x:c>
      <x:c r="D337" s="9" t="n">
        <x:v>0.4211742648</x:v>
      </x:c>
      <x:c r="E337" s="10" t="n">
        <x:v>339.980010986</x:v>
      </x:c>
      <x:c r="F337" s="10" t="n">
        <x:v>179.38999939</x:v>
      </x:c>
      <x:c r="G337" s="11" t="n">
        <x:f>'Summary'!$C$18</x:f>
        <x:v>1000</x:v>
      </x:c>
      <x:c r="H337" s="12" t="n">
        <x:f>G337/E337</x:f>
        <x:v>2.9413493961007573</x:v>
      </x:c>
      <x:c r="I337" s="11" t="n">
        <x:f>H337*F337</x:f>
        <x:v>527.6486663722918</x:v>
      </x:c>
      <x:c r="J337" s="10" t="n">
        <x:v>608.0953621763</x:v>
      </x:c>
      <x:c r="K337" s="10" t="n">
        <x:v>778.570007324</x:v>
      </x:c>
      <x:c r="L337" s="11" t="n">
        <x:f>G337*K337/J337</x:f>
        <x:v>1280.3419590927183</x:v>
      </x:c>
      <x:c r="M337" s="2" t="str">
        <x:v>current price</x:v>
      </x:c>
      <x:c r="N337" s="8" t="d">
        <x:v>2026-10-09T00:00:00.000Z</x:v>
      </x:c>
      <x:c r="O337" s="11" t="n">
        <x:f>I337-L337</x:f>
        <x:v>-752.6932927204265</x:v>
      </x:c>
    </x:row>
    <x:row r="338" ht="22" customHeight="1">
      <x:c r="A338" s="8" t="d">
        <x:v>2025-08-01T00:00:00.000Z</x:v>
      </x:c>
      <x:c r="B338" s="8" t="d">
        <x:v>2025-07-31T00:00:00.000Z</x:v>
      </x:c>
      <x:c r="C338" s="2" t="str">
        <x:v>GNRC</x:v>
      </x:c>
      <x:c r="D338" s="9" t="n">
        <x:v>0.3594720572</x:v>
      </x:c>
      <x:c r="E338" s="10" t="n">
        <x:v>189.350006104</x:v>
      </x:c>
      <x:c r="F338" s="10" t="n">
        <x:v>224.940002441</x:v>
      </x:c>
      <x:c r="G338" s="11" t="n">
        <x:f>'Summary'!$C$18</x:f>
        <x:v>1000</x:v>
      </x:c>
      <x:c r="H338" s="12" t="n">
        <x:f>G338/E338</x:f>
        <x:v>5.281225074007933</x:v>
      </x:c>
      <x:c r="I338" s="11" t="n">
        <x:f>H338*F338</x:f>
        <x:v>1187.9587810388148</x:v>
      </x:c>
      <x:c r="J338" s="10" t="n">
        <x:v>617.9020815096</x:v>
      </x:c>
      <x:c r="K338" s="10" t="n">
        <x:v>778.570007324</x:v>
      </x:c>
      <x:c r="L338" s="11" t="n">
        <x:f>G338*K338/J338</x:f>
        <x:v>1260.0216613963678</x:v>
      </x:c>
      <x:c r="M338" s="2" t="str">
        <x:v>current price</x:v>
      </x:c>
      <x:c r="N338" s="8" t="d">
        <x:v>2026-10-09T00:00:00.000Z</x:v>
      </x:c>
      <x:c r="O338" s="11" t="n">
        <x:f>I338-L338</x:f>
        <x:v>-72.06288035755301</x:v>
      </x:c>
    </x:row>
    <x:row r="339" ht="22" customHeight="1">
      <x:c r="A339" s="8" t="d">
        <x:v>2025-09-02T00:00:00.000Z</x:v>
      </x:c>
      <x:c r="B339" s="8" t="d">
        <x:v>2025-08-29T00:00:00.000Z</x:v>
      </x:c>
      <x:c r="C339" s="2" t="str">
        <x:v>ALB</x:v>
      </x:c>
      <x:c r="D339" s="9" t="n">
        <x:v>0.2515843785</x:v>
      </x:c>
      <x:c r="E339" s="10" t="n">
        <x:v>80.6231323068</x:v>
      </x:c>
      <x:c r="F339" s="10" t="n">
        <x:v>101.269996643</x:v>
      </x:c>
      <x:c r="G339" s="11" t="n">
        <x:f>'Summary'!$C$18</x:f>
        <x:v>1000</x:v>
      </x:c>
      <x:c r="H339" s="12" t="n">
        <x:f>G339/E339</x:f>
        <x:v>12.403388101998326</x:v>
      </x:c>
      <x:c r="I339" s="11" t="n">
        <x:f>H339*F339</x:f>
        <x:v>1256.0910714511965</x:v>
      </x:c>
      <x:c r="J339" s="10" t="n">
        <x:v>628.9519154403</x:v>
      </x:c>
      <x:c r="K339" s="10" t="n">
        <x:v>778.570007324</x:v>
      </x:c>
      <x:c r="L339" s="11" t="n">
        <x:f>G339*K339/J339</x:f>
        <x:v>1237.8847861190777</x:v>
      </x:c>
      <x:c r="M339" s="2" t="str">
        <x:v>current price</x:v>
      </x:c>
      <x:c r="N339" s="8" t="d">
        <x:v>2026-10-09T00:00:00.000Z</x:v>
      </x:c>
      <x:c r="O339" s="11" t="n">
        <x:f>I339-L339</x:f>
        <x:v>18.206285332118796</x:v>
      </x:c>
    </x:row>
    <x:row r="340" ht="22" customHeight="1">
      <x:c r="A340" s="8" t="d">
        <x:v>2025-10-01T00:00:00.000Z</x:v>
      </x:c>
      <x:c r="B340" s="8" t="d">
        <x:v>2025-09-30T00:00:00.000Z</x:v>
      </x:c>
      <x:c r="C340" s="2" t="str">
        <x:v>WBD</x:v>
      </x:c>
      <x:c r="D340" s="9" t="n">
        <x:v>0.677835061</x:v>
      </x:c>
      <x:c r="E340" s="10" t="n">
        <x:v>19.5300006866</x:v>
      </x:c>
      <x:c r="F340" s="10" t="n">
        <x:v>0</x:v>
      </x:c>
      <x:c r="G340" s="11" t="n">
        <x:f>'Summary'!$C$18</x:f>
        <x:v>1000</x:v>
      </x:c>
      <x:c r="H340" s="12" t="n">
        <x:f>G340/E340</x:f>
        <x:v>51.20327520961757</x:v>
      </x:c>
      <x:c r="I340" s="11" t="n">
        <x:f>H340*F340</x:f>
        <x:v>0</x:v>
      </x:c>
      <x:c r="J340" s="10" t="n">
        <x:v>656.0916415562</x:v>
      </x:c>
      <x:c r="K340" s="10" t="n">
        <x:v>778.570007324</x:v>
      </x:c>
      <x:c r="L340" s="11" t="n">
        <x:f>G340*K340/J340</x:f>
        <x:v>1186.6787473123275</x:v>
      </x:c>
      <x:c r="M340" s="2" t="str">
        <x:v>written off ($0 rule)</x:v>
      </x:c>
      <x:c r="N340" s="8" t="d">
        <x:v>2026-10-06T00:00:00.000Z</x:v>
      </x:c>
      <x:c r="O340" s="11" t="n">
        <x:f>I340-L340</x:f>
        <x:v>-1186.6787473123275</x:v>
      </x:c>
    </x:row>
    <x:row r="341" ht="22" customHeight="1">
      <x:c r="A341" s="8" t="d">
        <x:v>2025-11-03T00:00:00.000Z</x:v>
      </x:c>
      <x:c r="B341" s="8" t="d">
        <x:v>2025-10-31T00:00:00.000Z</x:v>
      </x:c>
      <x:c r="C341" s="2" t="str">
        <x:v>AMD</x:v>
      </x:c>
      <x:c r="D341" s="9" t="n">
        <x:v>0.5830397784</x:v>
      </x:c>
      <x:c r="E341" s="10" t="n">
        <x:v>259.329986572</x:v>
      </x:c>
      <x:c r="F341" s="10" t="n">
        <x:v>608.099975586</x:v>
      </x:c>
      <x:c r="G341" s="11" t="n">
        <x:f>'Summary'!$C$18</x:f>
        <x:v>1000</x:v>
      </x:c>
      <x:c r="H341" s="12" t="n">
        <x:f>G341/E341</x:f>
        <x:v>3.856090894919942</x:v>
      </x:c>
      <x:c r="I341" s="11" t="n">
        <x:f>H341*F341</x:f>
        <x:v>2344.888779058214</x:v>
      </x:c>
      <x:c r="J341" s="10" t="n">
        <x:v>678.3514879242</x:v>
      </x:c>
      <x:c r="K341" s="10" t="n">
        <x:v>778.570007324</x:v>
      </x:c>
      <x:c r="L341" s="11" t="n">
        <x:f>G341*K341/J341</x:f>
        <x:v>1147.738335042907</x:v>
      </x:c>
      <x:c r="M341" s="2" t="str">
        <x:v>current price</x:v>
      </x:c>
      <x:c r="N341" s="8" t="d">
        <x:v>2026-10-09T00:00:00.000Z</x:v>
      </x:c>
      <x:c r="O341" s="11" t="n">
        <x:f>I341-L341</x:f>
        <x:v>1197.150444015307</x:v>
      </x:c>
    </x:row>
    <x:row r="342" ht="22" customHeight="1">
      <x:c r="A342" s="8" t="d">
        <x:v>2025-12-01T00:00:00.000Z</x:v>
      </x:c>
      <x:c r="B342" s="8" t="d">
        <x:v>2025-11-28T00:00:00.000Z</x:v>
      </x:c>
      <x:c r="C342" s="2" t="str">
        <x:v>ALB</x:v>
      </x:c>
      <x:c r="D342" s="9" t="n">
        <x:v>0.3233228245</x:v>
      </x:c>
      <x:c r="E342" s="10" t="n">
        <x:v>127.0136785794</x:v>
      </x:c>
      <x:c r="F342" s="10" t="n">
        <x:v>101.269996643</x:v>
      </x:c>
      <x:c r="G342" s="11" t="n">
        <x:f>'Summary'!$C$18</x:f>
        <x:v>1000</x:v>
      </x:c>
      <x:c r="H342" s="12" t="n">
        <x:f>G342/E342</x:f>
        <x:v>7.873167765744778</x:v>
      </x:c>
      <x:c r="I342" s="11" t="n">
        <x:f>H342*F342</x:f>
        <x:v>797.3156732067495</x:v>
      </x:c>
      <x:c r="J342" s="10" t="n">
        <x:v>671.5647225909</x:v>
      </x:c>
      <x:c r="K342" s="10" t="n">
        <x:v>778.570007324</x:v>
      </x:c>
      <x:c r="L342" s="11" t="n">
        <x:f>G342*K342/J342</x:f>
        <x:v>1159.3372628631728</x:v>
      </x:c>
      <x:c r="M342" s="2" t="str">
        <x:v>current price</x:v>
      </x:c>
      <x:c r="N342" s="8" t="d">
        <x:v>2026-10-09T00:00:00.000Z</x:v>
      </x:c>
      <x:c r="O342" s="11" t="n">
        <x:f>I342-L342</x:f>
        <x:v>-362.0215896564233</x:v>
      </x:c>
    </x:row>
    <x:row r="343" ht="22" customHeight="1">
      <x:c r="A343" s="8" t="d">
        <x:v>2026-01-02T00:00:00.000Z</x:v>
      </x:c>
      <x:c r="B343" s="8" t="d">
        <x:v>2025-12-31T00:00:00.000Z</x:v>
      </x:c>
      <x:c r="C343" s="2" t="str">
        <x:v>DG</x:v>
      </x:c>
      <x:c r="D343" s="9" t="n">
        <x:v>0.2126222199</x:v>
      </x:c>
      <x:c r="E343" s="10" t="n">
        <x:v>130.2867818348</x:v>
      </x:c>
      <x:c r="F343" s="10" t="n">
        <x:v>127.230003357</x:v>
      </x:c>
      <x:c r="G343" s="11" t="n">
        <x:f>'Summary'!$C$18</x:f>
        <x:v>1000</x:v>
      </x:c>
      <x:c r="H343" s="12" t="n">
        <x:f>G343/E343</x:f>
        <x:v>7.675375705173009</x:v>
      </x:c>
      <x:c r="I343" s="11" t="n">
        <x:f>H343*F343</x:f>
        <x:v>976.5380767353981</x:v>
      </x:c>
      <x:c r="J343" s="10" t="n">
        <x:v>680.3956654205</x:v>
      </x:c>
      <x:c r="K343" s="10" t="n">
        <x:v>778.570007324</x:v>
      </x:c>
      <x:c r="L343" s="11" t="n">
        <x:f>G343*K343/J343</x:f>
        <x:v>1144.2900754560599</x:v>
      </x:c>
      <x:c r="M343" s="2" t="str">
        <x:v>current price</x:v>
      </x:c>
      <x:c r="N343" s="8" t="d">
        <x:v>2026-10-09T00:00:00.000Z</x:v>
      </x:c>
      <x:c r="O343" s="11" t="n">
        <x:f>I343-L343</x:f>
        <x:v>-167.75199872066173</x:v>
      </x:c>
    </x:row>
    <x:row r="344" ht="22" customHeight="1">
      <x:c r="A344" s="8" t="d">
        <x:v>2026-02-02T00:00:00.000Z</x:v>
      </x:c>
      <x:c r="B344" s="8" t="d">
        <x:v>2026-01-30T00:00:00.000Z</x:v>
      </x:c>
      <x:c r="C344" s="2" t="str">
        <x:v>SNDK</x:v>
      </x:c>
      <x:c r="D344" s="9" t="n">
        <x:v>1.4275422872</x:v>
      </x:c>
      <x:c r="E344" s="10" t="n">
        <x:v>588.809997559</x:v>
      </x:c>
      <x:c r="F344" s="10" t="n">
        <x:v>1581.81994629</x:v>
      </x:c>
      <x:c r="G344" s="11" t="n">
        <x:f>'Summary'!$C$18</x:f>
        <x:v>1000</x:v>
      </x:c>
      <x:c r="H344" s="12" t="n">
        <x:f>G344/E344</x:f>
        <x:v>1.698340728156196</x:v>
      </x:c>
      <x:c r="I344" s="11" t="n">
        <x:f>H344*F344</x:f>
        <x:v>2686.469239394153</x:v>
      </x:c>
      <x:c r="J344" s="10" t="n">
        <x:v>684.2356674877</x:v>
      </x:c>
      <x:c r="K344" s="10" t="n">
        <x:v>778.570007324</x:v>
      </x:c>
      <x:c r="L344" s="11" t="n">
        <x:f>G344*K344/J344</x:f>
        <x:v>1137.8681999765759</x:v>
      </x:c>
      <x:c r="M344" s="2" t="str">
        <x:v>current price</x:v>
      </x:c>
      <x:c r="N344" s="8" t="d">
        <x:v>2026-10-09T00:00:00.000Z</x:v>
      </x:c>
      <x:c r="O344" s="11" t="n">
        <x:f>I344-L344</x:f>
        <x:v>1548.6010394175773</x:v>
      </x:c>
    </x:row>
    <x:row r="345" ht="22" customHeight="1">
      <x:c r="A345" s="8" t="d">
        <x:v>2026-03-02T00:00:00.000Z</x:v>
      </x:c>
      <x:c r="B345" s="8" t="d">
        <x:v>2026-02-27T00:00:00.000Z</x:v>
      </x:c>
      <x:c r="C345" s="2" t="str">
        <x:v>TPL</x:v>
      </x:c>
      <x:c r="D345" s="9" t="n">
        <x:v>0.5050235391</x:v>
      </x:c>
      <x:c r="E345" s="10" t="n">
        <x:v>536.3176247828</x:v>
      </x:c>
      <x:c r="F345" s="10" t="n">
        <x:v>360.980010986</x:v>
      </x:c>
      <x:c r="G345" s="11" t="n">
        <x:f>'Summary'!$C$18</x:f>
        <x:v>1000</x:v>
      </x:c>
      <x:c r="H345" s="12" t="n">
        <x:f>G345/E345</x:f>
        <x:v>1.86456673021884</x:v>
      </x:c>
      <x:c r="I345" s="11" t="n">
        <x:f>H345*F345</x:f>
        <x:v>673.071318758527</x:v>
      </x:c>
      <x:c r="J345" s="10" t="n">
        <x:v>673.4399842917</x:v>
      </x:c>
      <x:c r="K345" s="10" t="n">
        <x:v>778.570007324</x:v>
      </x:c>
      <x:c r="L345" s="11" t="n">
        <x:f>G345*K345/J345</x:f>
        <x:v>1156.1089710805811</x:v>
      </x:c>
      <x:c r="M345" s="2" t="str">
        <x:v>current price</x:v>
      </x:c>
      <x:c r="N345" s="8" t="d">
        <x:v>2026-10-09T00:00:00.000Z</x:v>
      </x:c>
      <x:c r="O345" s="11" t="n">
        <x:f>I345-L345</x:f>
        <x:v>-483.0376523220541</x:v>
      </x:c>
    </x:row>
    <x:row r="346" ht="22" customHeight="1">
      <x:c r="A346" s="8" t="d">
        <x:v>2026-04-01T00:00:00.000Z</x:v>
      </x:c>
      <x:c r="B346" s="8" t="d">
        <x:v>2026-03-31T00:00:00.000Z</x:v>
      </x:c>
      <x:c r="C346" s="2" t="str">
        <x:v>LYB</x:v>
      </x:c>
      <x:c r="D346" s="9" t="n">
        <x:v>0.4175610929</x:v>
      </x:c>
      <x:c r="E346" s="10" t="n">
        <x:v>78.3530433778</x:v>
      </x:c>
      <x:c r="F346" s="10" t="n">
        <x:v>60.0299987793</x:v>
      </x:c>
      <x:c r="G346" s="11" t="n">
        <x:f>'Summary'!$C$18</x:f>
        <x:v>1000</x:v>
      </x:c>
      <x:c r="H346" s="12" t="n">
        <x:f>G346/E346</x:f>
        <x:v>12.762746115402747</x:v>
      </x:c>
      <x:c r="I346" s="11" t="n">
        <x:f>H346*F346</x:f>
        <x:v>766.1476337281428</x:v>
      </x:c>
      <x:c r="J346" s="10" t="n">
        <x:v>650.6041548262</x:v>
      </x:c>
      <x:c r="K346" s="10" t="n">
        <x:v>778.570007324</x:v>
      </x:c>
      <x:c r="L346" s="11" t="n">
        <x:f>G346*K346/J346</x:f>
        <x:v>1196.687727166428</x:v>
      </x:c>
      <x:c r="M346" s="2" t="str">
        <x:v>current price</x:v>
      </x:c>
      <x:c r="N346" s="8" t="d">
        <x:v>2026-10-09T00:00:00.000Z</x:v>
      </x:c>
      <x:c r="O346" s="11" t="n">
        <x:f>I346-L346</x:f>
        <x:v>-430.5400934382852</x:v>
      </x:c>
    </x:row>
    <x:row r="347" ht="22" customHeight="1">
      <x:c r="A347" s="8" t="d">
        <x:v>2026-05-01T00:00:00.000Z</x:v>
      </x:c>
      <x:c r="B347" s="8" t="d">
        <x:v>2026-04-30T00:00:00.000Z</x:v>
      </x:c>
      <x:c r="C347" s="2" t="str">
        <x:v>INTC</x:v>
      </x:c>
      <x:c r="D347" s="9" t="n">
        <x:v>1.1409472257</x:v>
      </x:c>
      <x:c r="E347" s="10" t="n">
        <x:v>93.1999969482</x:v>
      </x:c>
      <x:c r="F347" s="10" t="n">
        <x:v>104.699996948</x:v>
      </x:c>
      <x:c r="G347" s="11" t="n">
        <x:f>'Summary'!$C$18</x:f>
        <x:v>1000</x:v>
      </x:c>
      <x:c r="H347" s="12" t="n">
        <x:f>G347/E347</x:f>
        <x:v>10.72961408524288</x:v>
      </x:c>
      <x:c r="I347" s="11" t="n">
        <x:f>H347*F347</x:f>
        <x:v>1123.3905619781474</x:v>
      </x:c>
      <x:c r="J347" s="10" t="n">
        <x:v>717.6146645492</x:v>
      </x:c>
      <x:c r="K347" s="10" t="n">
        <x:v>778.570007324</x:v>
      </x:c>
      <x:c r="L347" s="11" t="n">
        <x:f>G347*K347/J347</x:f>
        <x:v>1084.941606945967</x:v>
      </x:c>
      <x:c r="M347" s="2" t="str">
        <x:v>current price</x:v>
      </x:c>
      <x:c r="N347" s="8" t="d">
        <x:v>2026-10-09T00:00:00.000Z</x:v>
      </x:c>
      <x:c r="O347" s="11" t="n">
        <x:f>I347-L347</x:f>
        <x:v>38.44895503218049</x:v>
      </x:c>
    </x:row>
    <x:row r="348" ht="22" customHeight="1">
      <x:c r="A348" s="8" t="d">
        <x:v>2026-06-01T00:00:00.000Z</x:v>
      </x:c>
      <x:c r="B348" s="8" t="d">
        <x:v>2026-05-29T00:00:00.000Z</x:v>
      </x:c>
      <x:c r="C348" s="2" t="str">
        <x:v>DELL</x:v>
      </x:c>
      <x:c r="D348" s="9" t="n">
        <x:v>1.0144054071</x:v>
      </x:c>
      <x:c r="E348" s="10" t="n">
        <x:v>425.4469602399</x:v>
      </x:c>
      <x:c r="F348" s="10" t="n">
        <x:v>586.059997559</x:v>
      </x:c>
      <x:c r="G348" s="11" t="n">
        <x:f>'Summary'!$C$18</x:f>
        <x:v>1000</x:v>
      </x:c>
      <x:c r="H348" s="12" t="n">
        <x:f>G348/E348</x:f>
        <x:v>2.350469255758984</x:v>
      </x:c>
      <x:c r="I348" s="11" t="n">
        <x:f>H348*F348</x:f>
        <x:v>1377.5160062926147</x:v>
      </x:c>
      <x:c r="J348" s="10" t="n">
        <x:v>751.5527244402</x:v>
      </x:c>
      <x:c r="K348" s="10" t="n">
        <x:v>778.570007324</x:v>
      </x:c>
      <x:c r="L348" s="11" t="n">
        <x:f>G348*K348/J348</x:f>
        <x:v>1035.9486194450617</x:v>
      </x:c>
      <x:c r="M348" s="2" t="str">
        <x:v>current price</x:v>
      </x:c>
      <x:c r="N348" s="8" t="d">
        <x:v>2026-10-09T00:00:00.000Z</x:v>
      </x:c>
      <x:c r="O348" s="11" t="n">
        <x:f>I348-L348</x:f>
        <x:v>341.56738684755305</x:v>
      </x:c>
    </x:row>
    <x:row r="349" ht="22" customHeight="1">
      <x:c r="A349" s="8" t="d">
        <x:v>2026-07-01T00:00:00.000Z</x:v>
      </x:c>
      <x:c r="B349" s="8" t="d">
        <x:v>2026-06-30T00:00:00.000Z</x:v>
      </x:c>
      <x:c r="C349" s="2" t="str">
        <x:v>AMAT</x:v>
      </x:c>
      <x:c r="D349" s="9" t="n">
        <x:v>0.6064524817</x:v>
      </x:c>
      <x:c r="E349" s="10" t="n">
        <x:v>667.6959894777</x:v>
      </x:c>
      <x:c r="F349" s="10" t="n">
        <x:v>507.029998779</x:v>
      </x:c>
      <x:c r="G349" s="11" t="n">
        <x:f>'Summary'!$C$18</x:f>
        <x:v>1000</x:v>
      </x:c>
      <x:c r="H349" s="12" t="n">
        <x:f>G349/E349</x:f>
        <x:v>1.4976875939935512</x:v>
      </x:c>
      <x:c r="I349" s="11" t="n">
        <x:f>H349*F349</x:f>
        <x:v>759.3725389538737</x:v>
      </x:c>
      <x:c r="J349" s="10" t="n">
        <x:v>743.1545960589</x:v>
      </x:c>
      <x:c r="K349" s="10" t="n">
        <x:v>778.570007324</x:v>
      </x:c>
      <x:c r="L349" s="11" t="n">
        <x:f>G349*K349/J349</x:f>
        <x:v>1047.6555099745265</x:v>
      </x:c>
      <x:c r="M349" s="2" t="str">
        <x:v>current price</x:v>
      </x:c>
      <x:c r="N349" s="8" t="d">
        <x:v>2026-10-09T00:00:00.000Z</x:v>
      </x:c>
      <x:c r="O349" s="11" t="n">
        <x:f>I349-L349</x:f>
        <x:v>-288.2829710206528</x:v>
      </x:c>
    </x:row>
    <x:row r="350" ht="22" customHeight="1">
      <x:c r="A350" s="8" t="d">
        <x:v>2026-08-03T00:00:00.000Z</x:v>
      </x:c>
      <x:c r="B350" s="8" t="d">
        <x:v>2026-07-31T00:00:00.000Z</x:v>
      </x:c>
      <x:c r="C350" s="2" t="str">
        <x:v>CTSH</x:v>
      </x:c>
      <x:c r="D350" s="9" t="n">
        <x:v>0.429124687</x:v>
      </x:c>
      <x:c r="E350" s="10" t="n">
        <x:v>55.9220985727</x:v>
      </x:c>
      <x:c r="F350" s="10" t="n">
        <x:v>59.2000007629</x:v>
      </x:c>
      <x:c r="G350" s="11" t="n">
        <x:f>'Summary'!$C$18</x:f>
        <x:v>1000</x:v>
      </x:c>
      <x:c r="H350" s="12" t="n">
        <x:f>G350/E350</x:f>
        <x:v>17.882018477900598</x:v>
      </x:c>
      <x:c r="I350" s="11" t="n">
        <x:f>H350*F350</x:f>
        <x:v>1058.6155075339072</x:v>
      </x:c>
      <x:c r="J350" s="10" t="n">
        <x:v>747.5836003828</x:v>
      </x:c>
      <x:c r="K350" s="10" t="n">
        <x:v>778.570007324</x:v>
      </x:c>
      <x:c r="L350" s="11" t="n">
        <x:f>G350*K350/J350</x:f>
        <x:v>1041.4487515848841</x:v>
      </x:c>
      <x:c r="M350" s="2" t="str">
        <x:v>current price</x:v>
      </x:c>
      <x:c r="N350" s="8" t="d">
        <x:v>2026-10-09T00:00:00.000Z</x:v>
      </x:c>
      <x:c r="O350" s="11" t="n">
        <x:f>I350-L350</x:f>
        <x:v>17.166755949023127</x:v>
      </x:c>
    </x:row>
    <x:row r="351" ht="22" customHeight="1">
      <x:c r="A351" s="8" t="d">
        <x:v>2026-09-01T00:00:00.000Z</x:v>
      </x:c>
      <x:c r="B351" s="8" t="d">
        <x:v>2026-08-31T00:00:00.000Z</x:v>
      </x:c>
      <x:c r="C351" s="2" t="str">
        <x:v>MRNA</x:v>
      </x:c>
      <x:c r="D351" s="9" t="n">
        <x:v>1.5600145407</x:v>
      </x:c>
      <x:c r="E351" s="10" t="n">
        <x:v>140.25</x:v>
      </x:c>
      <x:c r="F351" s="10" t="n">
        <x:v>225</x:v>
      </x:c>
      <x:c r="G351" s="11" t="n">
        <x:f>'Summary'!$C$18</x:f>
        <x:v>1000</x:v>
      </x:c>
      <x:c r="H351" s="12" t="n">
        <x:f>G351/E351</x:f>
        <x:v>7.1301247771836005</x:v>
      </x:c>
      <x:c r="I351" s="11" t="n">
        <x:f>H351*F351</x:f>
        <x:v>1604.2780748663101</x:v>
      </x:c>
      <x:c r="J351" s="10" t="n">
        <x:v>760.1224711424</x:v>
      </x:c>
      <x:c r="K351" s="10" t="n">
        <x:v>778.570007324</x:v>
      </x:c>
      <x:c r="L351" s="11" t="n">
        <x:f>G351*K351/J351</x:f>
        <x:v>1024.2691630387862</x:v>
      </x:c>
      <x:c r="M351" s="2" t="str">
        <x:v>current price</x:v>
      </x:c>
      <x:c r="N351" s="8" t="d">
        <x:v>2026-10-09T00:00:00.000Z</x:v>
      </x:c>
      <x:c r="O351" s="11" t="n">
        <x:f>I351-L351</x:f>
        <x:v>580.0089118275239</x:v>
      </x:c>
    </x:row>
    <x:row r="352" ht="22" customHeight="1">
      <x:c r="A352" s="8" t="d">
        <x:v>2026-10-01T00:00:00.000Z</x:v>
      </x:c>
      <x:c r="B352" s="8" t="d">
        <x:v>2026-09-30T00:00:00.000Z</x:v>
      </x:c>
      <x:c r="C352" s="2" t="str">
        <x:v>P</x:v>
      </x:c>
      <x:c r="D352" s="9" t="n">
        <x:v>0.4069930401</x:v>
      </x:c>
      <x:c r="E352" s="10" t="n">
        <x:v>132.130004883</x:v>
      </x:c>
      <x:c r="F352" s="10" t="n">
        <x:v>154.490005493</x:v>
      </x:c>
      <x:c r="G352" s="11" t="n">
        <x:f>'Summary'!$C$18</x:f>
        <x:v>1000</x:v>
      </x:c>
      <x:c r="H352" s="12" t="n">
        <x:f>G352/E352</x:f>
        <x:v>7.568303663391911</x:v>
      </x:c>
      <x:c r="I352" s="11" t="n">
        <x:f>H352*F352</x:f>
        <x:v>1169.2272745301086</x:v>
      </x:c>
      <x:c r="J352" s="10" t="n">
        <x:v>764.359985352</x:v>
      </x:c>
      <x:c r="K352" s="10" t="n">
        <x:v>778.570007324</x:v>
      </x:c>
      <x:c r="L352" s="11" t="n">
        <x:f>G352*K352/J352</x:f>
        <x:v>1018.5907455182339</x:v>
      </x:c>
      <x:c r="M352" s="2" t="str">
        <x:v>current price</x:v>
      </x:c>
      <x:c r="N352" s="8" t="d">
        <x:v>2026-10-09T00:00:00.000Z</x:v>
      </x:c>
      <x:c r="O352" s="11" t="n">
        <x:f>I352-L352</x:f>
        <x:v>150.6365290118747</x:v>
      </x:c>
    </x:row>
  </x:sheetData>
  <x:pageMargins left="0.7" right="0.7" top="0.75" bottom="0.75" header="0.3" footer="0.3"/>
  <x:tableParts count="1">
    <x:tablePart xmlns:r="http://schemas.openxmlformats.org/officeDocument/2006/relationships" r:id="Rf8efc0b015604aa1"/>
  </x:tableParts>
</x:worksheet>
</file>

<file path=xl/worksheets/sheet3.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18" hidden="0" customWidth="1"/>
    <x:col min="2" max="2" width="18" hidden="0" customWidth="1"/>
    <x:col min="3" max="3" width="22"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 min="10" max="10" width="18" hidden="0" customWidth="1"/>
    <x:col min="11" max="11" width="18" hidden="0" customWidth="1"/>
    <x:col min="12" max="12" width="18" hidden="0" customWidth="1"/>
    <x:col min="13" max="13" width="18" hidden="0" customWidth="1"/>
    <x:col min="14" max="14" width="18" hidden="0" customWidth="1"/>
  </x:cols>
  <x:sheetData>
    <x:row r="1" ht="22" customHeight="1">
      <x:c r="A1" s="2"/>
      <x:c r="B1" s="2"/>
      <x:c r="C1" s="2"/>
      <x:c r="D1" s="2"/>
      <x:c r="E1" s="2"/>
      <x:c r="F1" s="2"/>
      <x:c r="G1" s="2"/>
      <x:c r="H1" s="2"/>
      <x:c r="I1" s="2"/>
      <x:c r="J1" s="2"/>
      <x:c r="K1" s="2"/>
      <x:c r="L1" s="2"/>
      <x:c r="M1" s="2"/>
      <x:c r="N1" s="2"/>
    </x:row>
    <x:row r="2" ht="22" customHeight="1">
      <x:c r="A2" s="3" t="str">
        <x:v>Monthly values and ranking coverage</x:v>
      </x:c>
      <x:c r="B2" s="2"/>
      <x:c r="C2" s="2"/>
      <x:c r="D2" s="2"/>
      <x:c r="E2" s="2"/>
      <x:c r="F2" s="2"/>
      <x:c r="G2" s="2"/>
      <x:c r="H2" s="2"/>
      <x:c r="I2" s="2"/>
      <x:c r="J2" s="2"/>
      <x:c r="K2" s="2"/>
      <x:c r="L2" s="2"/>
      <x:c r="M2" s="2"/>
      <x:c r="N2" s="2"/>
    </x:row>
    <x:row r="3" ht="22" customHeight="1">
      <x:c r="A3" s="4"/>
      <x:c r="B3" s="4"/>
      <x:c r="C3" s="4"/>
      <x:c r="D3" s="4"/>
      <x:c r="E3" s="4"/>
      <x:c r="F3" s="4"/>
      <x:c r="G3" s="4"/>
      <x:c r="H3" s="4"/>
      <x:c r="I3" s="4"/>
      <x:c r="J3" s="4"/>
      <x:c r="K3" s="4"/>
      <x:c r="L3" s="4"/>
      <x:c r="M3" s="4"/>
      <x:c r="N3" s="4"/>
    </x:row>
    <x:row r="4" ht="22" customHeight="1">
      <x:c r="A4" s="2" t="str">
        <x:v>Portfolio paths use the stored analysis per $1 monthly contribution. Full calculation inputs are in the reproduction archive.</x:v>
      </x:c>
      <x:c r="B4" s="2"/>
      <x:c r="C4" s="2"/>
      <x:c r="D4" s="2"/>
      <x:c r="E4" s="2"/>
      <x:c r="F4" s="2"/>
      <x:c r="G4" s="2"/>
      <x:c r="H4" s="2"/>
      <x:c r="I4" s="2"/>
      <x:c r="J4" s="2"/>
      <x:c r="K4" s="2"/>
      <x:c r="L4" s="2"/>
      <x:c r="M4" s="2"/>
      <x:c r="N4" s="2"/>
    </x:row>
    <x:row r="5" ht="22" customHeight="1">
      <x:c r="A5" s="2"/>
      <x:c r="B5" s="2"/>
      <x:c r="C5" s="2"/>
      <x:c r="D5" s="2"/>
      <x:c r="E5" s="2"/>
      <x:c r="F5" s="2"/>
      <x:c r="G5" s="2"/>
      <x:c r="H5" s="2"/>
      <x:c r="I5" s="2"/>
      <x:c r="J5" s="2"/>
      <x:c r="K5" s="2"/>
      <x:c r="L5" s="2"/>
      <x:c r="M5" s="2"/>
      <x:c r="N5" s="2"/>
    </x:row>
    <x:row r="6" ht="30" customHeight="1">
      <x:c r="A6" s="13" t="str">
        <x:v>Value date</x:v>
      </x:c>
      <x:c r="B6" s="13" t="str">
        <x:v>Buy date</x:v>
      </x:c>
      <x:c r="C6" s="13" t="str">
        <x:v>Observed winner</x:v>
      </x:c>
      <x:c r="D6" s="13" t="str">
        <x:v>Total invested</x:v>
      </x:c>
      <x:c r="E6" s="13" t="str">
        <x:v>Members</x:v>
      </x:c>
      <x:c r="F6" s="13" t="str">
        <x:v>Ranked</x:v>
      </x:c>
      <x:c r="G6" s="13" t="str">
        <x:v>Coverage</x:v>
      </x:c>
      <x:c r="H6" s="13" t="str">
        <x:v>Leader mark</x:v>
      </x:c>
      <x:c r="I6" s="13" t="str">
        <x:v>SPY value</x:v>
      </x:c>
      <x:c r="J6" s="13" t="str">
        <x:v>Write-offs at cost</x:v>
      </x:c>
      <x:c r="K6" s="13" t="str">
        <x:v>Leader value per $1</x:v>
      </x:c>
      <x:c r="L6" s="13" t="str">
        <x:v>SPY value per $1</x:v>
      </x:c>
      <x:c r="M6" s="13" t="str">
        <x:v>Write-off cost per $1</x:v>
      </x:c>
      <x:c r="N6" s="13" t="str">
        <x:v>Month</x:v>
      </x:c>
    </x:row>
    <x:row r="7" ht="22" customHeight="1">
      <x:c r="A7" s="8" t="d">
        <x:v>1998-01-30T00:00:00.000Z</x:v>
      </x:c>
      <x:c r="B7" s="8" t="d">
        <x:v>1998-01-02T00:00:00.000Z</x:v>
      </x:c>
      <x:c r="C7" s="2" t="str">
        <x:v>CINF</x:v>
      </x:c>
      <x:c r="D7" s="11" t="n">
        <x:f>1*'Summary'!$C$18</x:f>
        <x:v>1000</x:v>
      </x:c>
      <x:c r="E7" s="2" t="n">
        <x:v>499</x:v>
      </x:c>
      <x:c r="F7" s="2" t="n">
        <x:v>264</x:v>
      </x:c>
      <x:c r="G7" s="9" t="n">
        <x:f>F7/E7</x:f>
        <x:v>0.5290581162324649</x:v>
      </x:c>
      <x:c r="H7" s="11" t="n">
        <x:f>K7*'Summary'!$C$18</x:f>
        <x:v>910.7142889301</x:v>
      </x:c>
      <x:c r="I7" s="11" t="n">
        <x:f>L7*'Summary'!$C$18</x:f>
        <x:v>1010.2761721264999</x:v>
      </x:c>
      <x:c r="J7" s="11" t="n">
        <x:f>M7*'Summary'!$C$18</x:f>
        <x:v>0</x:v>
      </x:c>
      <x:c r="K7" s="12" t="n">
        <x:v>0.9107142889301</x:v>
      </x:c>
      <x:c r="L7" s="12" t="n">
        <x:v>1.0102761721265</x:v>
      </x:c>
      <x:c r="M7" s="12" t="n">
        <x:v>0</x:v>
      </x:c>
      <x:c r="N7" s="2" t="str">
        <x:v>1998-01</x:v>
      </x:c>
    </x:row>
    <x:row r="8" ht="22" customHeight="1">
      <x:c r="A8" s="8" t="d">
        <x:v>1998-02-27T00:00:00.000Z</x:v>
      </x:c>
      <x:c r="B8" s="8" t="d">
        <x:v>1998-02-02T00:00:00.000Z</x:v>
      </x:c>
      <x:c r="C8" s="2" t="str">
        <x:v>AAPL</x:v>
      </x:c>
      <x:c r="D8" s="11" t="n">
        <x:f>2*'Summary'!$C$18</x:f>
        <x:v>2000</x:v>
      </x:c>
      <x:c r="E8" s="2" t="n">
        <x:v>499</x:v>
      </x:c>
      <x:c r="F8" s="2" t="n">
        <x:v>266</x:v>
      </x:c>
      <x:c r="G8" s="9" t="n">
        <x:f>F8/E8</x:f>
        <x:v>0.533066132264529</x:v>
      </x:c>
      <x:c r="H8" s="11" t="n">
        <x:f>K8*'Summary'!$C$18</x:f>
        <x:v>2241.3125198562</x:v>
      </x:c>
      <x:c r="I8" s="11" t="n">
        <x:f>L8*'Summary'!$C$18</x:f>
        <x:v>2132.5190664278</x:v>
      </x:c>
      <x:c r="J8" s="11" t="n">
        <x:f>M8*'Summary'!$C$18</x:f>
        <x:v>0</x:v>
      </x:c>
      <x:c r="K8" s="12" t="n">
        <x:v>2.2413125198562</x:v>
      </x:c>
      <x:c r="L8" s="12" t="n">
        <x:v>2.1325190664278004</x:v>
      </x:c>
      <x:c r="M8" s="12" t="n">
        <x:v>0</x:v>
      </x:c>
      <x:c r="N8" s="2" t="str">
        <x:v>1998-02</x:v>
      </x:c>
    </x:row>
    <x:row r="9" ht="22" customHeight="1">
      <x:c r="A9" s="8" t="d">
        <x:v>1998-03-31T00:00:00.000Z</x:v>
      </x:c>
      <x:c r="B9" s="8" t="d">
        <x:v>1998-03-02T00:00:00.000Z</x:v>
      </x:c>
      <x:c r="C9" s="2" t="str">
        <x:v>DELL-201310</x:v>
      </x:c>
      <x:c r="D9" s="11" t="n">
        <x:f>3*'Summary'!$C$18</x:f>
        <x:v>3000</x:v>
      </x:c>
      <x:c r="E9" s="2" t="n">
        <x:v>499</x:v>
      </x:c>
      <x:c r="F9" s="2" t="n">
        <x:v>266</x:v>
      </x:c>
      <x:c r="G9" s="9" t="n">
        <x:f>F9/E9</x:f>
        <x:v>0.533066132264529</x:v>
      </x:c>
      <x:c r="H9" s="11" t="n">
        <x:f>K9*'Summary'!$C$18</x:f>
        <x:v>3340.2063195394</x:v>
      </x:c>
      <x:c r="I9" s="11" t="n">
        <x:f>L9*'Summary'!$C$18</x:f>
        <x:v>3284.0889988146</x:v>
      </x:c>
      <x:c r="J9" s="11" t="n">
        <x:f>M9*'Summary'!$C$18</x:f>
        <x:v>0</x:v>
      </x:c>
      <x:c r="K9" s="12" t="n">
        <x:v>3.3402063195393996</x:v>
      </x:c>
      <x:c r="L9" s="12" t="n">
        <x:v>3.2840889988146</x:v>
      </x:c>
      <x:c r="M9" s="12" t="n">
        <x:v>0</x:v>
      </x:c>
      <x:c r="N9" s="2" t="str">
        <x:v>1998-03</x:v>
      </x:c>
    </x:row>
    <x:row r="10" ht="22" customHeight="1">
      <x:c r="A10" s="8" t="d">
        <x:v>1998-04-30T00:00:00.000Z</x:v>
      </x:c>
      <x:c r="B10" s="8" t="d">
        <x:v>1998-04-01T00:00:00.000Z</x:v>
      </x:c>
      <x:c r="C10" s="2" t="str">
        <x:v>FCX</x:v>
      </x:c>
      <x:c r="D10" s="11" t="n">
        <x:f>4*'Summary'!$C$18</x:f>
        <x:v>4000</x:v>
      </x:c>
      <x:c r="E10" s="2" t="n">
        <x:v>500</x:v>
      </x:c>
      <x:c r="F10" s="2" t="n">
        <x:v>267</x:v>
      </x:c>
      <x:c r="G10" s="9" t="n">
        <x:f>F10/E10</x:f>
        <x:v>0.534</x:v>
      </x:c>
      <x:c r="H10" s="11" t="n">
        <x:f>K10*'Summary'!$C$18</x:f>
        <x:v>4490.1368031454</x:v>
      </x:c>
      <x:c r="I10" s="11" t="n">
        <x:f>L10*'Summary'!$C$18</x:f>
        <x:v>4335.4454012162</x:v>
      </x:c>
      <x:c r="J10" s="11" t="n">
        <x:f>M10*'Summary'!$C$18</x:f>
        <x:v>0</x:v>
      </x:c>
      <x:c r="K10" s="12" t="n">
        <x:v>4.4901368031454005</x:v>
      </x:c>
      <x:c r="L10" s="12" t="n">
        <x:v>4.3354454012162</x:v>
      </x:c>
      <x:c r="M10" s="12" t="n">
        <x:v>0</x:v>
      </x:c>
      <x:c r="N10" s="2" t="str">
        <x:v>1998-04</x:v>
      </x:c>
    </x:row>
    <x:row r="11" ht="22" customHeight="1">
      <x:c r="A11" s="8" t="d">
        <x:v>1998-05-29T00:00:00.000Z</x:v>
      </x:c>
      <x:c r="B11" s="8" t="d">
        <x:v>1998-05-01T00:00:00.000Z</x:v>
      </x:c>
      <x:c r="C11" s="2" t="str">
        <x:v>NC</x:v>
      </x:c>
      <x:c r="D11" s="11" t="n">
        <x:f>5*'Summary'!$C$18</x:f>
        <x:v>5000</x:v>
      </x:c>
      <x:c r="E11" s="2" t="n">
        <x:v>499</x:v>
      </x:c>
      <x:c r="F11" s="2" t="n">
        <x:v>268</x:v>
      </x:c>
      <x:c r="G11" s="9" t="n">
        <x:f>F11/E11</x:f>
        <x:v>0.5370741482965932</x:v>
      </x:c>
      <x:c r="H11" s="11" t="n">
        <x:f>K11*'Summary'!$C$18</x:f>
        <x:v>5231.1299887112</x:v>
      </x:c>
      <x:c r="I11" s="11" t="n">
        <x:f>L11*'Summary'!$C$18</x:f>
        <x:v>5221.0736121284</x:v>
      </x:c>
      <x:c r="J11" s="11" t="n">
        <x:f>M11*'Summary'!$C$18</x:f>
        <x:v>0</x:v>
      </x:c>
      <x:c r="K11" s="12" t="n">
        <x:v>5.2311299887112</x:v>
      </x:c>
      <x:c r="L11" s="12" t="n">
        <x:v>5.2210736121284</x:v>
      </x:c>
      <x:c r="M11" s="12" t="n">
        <x:v>0</x:v>
      </x:c>
      <x:c r="N11" s="2" t="str">
        <x:v>1998-05</x:v>
      </x:c>
    </x:row>
    <x:row r="12" ht="22" customHeight="1">
      <x:c r="A12" s="8" t="d">
        <x:v>1998-06-30T00:00:00.000Z</x:v>
      </x:c>
      <x:c r="B12" s="8" t="d">
        <x:v>1998-06-01T00:00:00.000Z</x:v>
      </x:c>
      <x:c r="C12" s="2" t="str">
        <x:v>EXC</x:v>
      </x:c>
      <x:c r="D12" s="11" t="n">
        <x:f>6*'Summary'!$C$18</x:f>
        <x:v>6000</x:v>
      </x:c>
      <x:c r="E12" s="2" t="n">
        <x:v>500</x:v>
      </x:c>
      <x:c r="F12" s="2" t="n">
        <x:v>269</x:v>
      </x:c>
      <x:c r="G12" s="9" t="n">
        <x:f>F12/E12</x:f>
        <x:v>0.538</x:v>
      </x:c>
      <x:c r="H12" s="11" t="n">
        <x:f>K12*'Summary'!$C$18</x:f>
        <x:v>6270.067159368</x:v>
      </x:c>
      <x:c r="I12" s="11" t="n">
        <x:f>L12*'Summary'!$C$18</x:f>
        <x:v>6486.523689765</x:v>
      </x:c>
      <x:c r="J12" s="11" t="n">
        <x:f>M12*'Summary'!$C$18</x:f>
        <x:v>0</x:v>
      </x:c>
      <x:c r="K12" s="12" t="n">
        <x:v>6.270067159368</x:v>
      </x:c>
      <x:c r="L12" s="12" t="n">
        <x:v>6.486523689765</x:v>
      </x:c>
      <x:c r="M12" s="12" t="n">
        <x:v>0</x:v>
      </x:c>
      <x:c r="N12" s="2" t="str">
        <x:v>1998-06</x:v>
      </x:c>
    </x:row>
    <x:row r="13" ht="22" customHeight="1">
      <x:c r="A13" s="8" t="d">
        <x:v>1998-07-31T00:00:00.000Z</x:v>
      </x:c>
      <x:c r="B13" s="8" t="d">
        <x:v>1998-07-01T00:00:00.000Z</x:v>
      </x:c>
      <x:c r="C13" s="2" t="str">
        <x:v>FITB</x:v>
      </x:c>
      <x:c r="D13" s="11" t="n">
        <x:f>7*'Summary'!$C$18</x:f>
        <x:v>7000</x:v>
      </x:c>
      <x:c r="E13" s="2" t="n">
        <x:v>500</x:v>
      </x:c>
      <x:c r="F13" s="2" t="n">
        <x:v>269</x:v>
      </x:c>
      <x:c r="G13" s="9" t="n">
        <x:f>F13/E13</x:f>
        <x:v>0.538</x:v>
      </x:c>
      <x:c r="H13" s="11" t="n">
        <x:f>K13*'Summary'!$C$18</x:f>
        <x:v>7674.9304691588</x:v>
      </x:c>
      <x:c r="I13" s="11" t="n">
        <x:f>L13*'Summary'!$C$18</x:f>
        <x:v>7378.8679642277</x:v>
      </x:c>
      <x:c r="J13" s="11" t="n">
        <x:f>M13*'Summary'!$C$18</x:f>
        <x:v>0</x:v>
      </x:c>
      <x:c r="K13" s="12" t="n">
        <x:v>7.6749304691588005</x:v>
      </x:c>
      <x:c r="L13" s="12" t="n">
        <x:v>7.3788679642277</x:v>
      </x:c>
      <x:c r="M13" s="12" t="n">
        <x:v>0</x:v>
      </x:c>
      <x:c r="N13" s="2" t="str">
        <x:v>1998-07</x:v>
      </x:c>
    </x:row>
    <x:row r="14" ht="22" customHeight="1">
      <x:c r="A14" s="8" t="d">
        <x:v>1998-08-31T00:00:00.000Z</x:v>
      </x:c>
      <x:c r="B14" s="8" t="d">
        <x:v>1998-08-03T00:00:00.000Z</x:v>
      </x:c>
      <x:c r="C14" s="2" t="str">
        <x:v>MU</x:v>
      </x:c>
      <x:c r="D14" s="11" t="n">
        <x:f>8*'Summary'!$C$18</x:f>
        <x:v>8000</x:v>
      </x:c>
      <x:c r="E14" s="2" t="n">
        <x:v>500</x:v>
      </x:c>
      <x:c r="F14" s="2" t="n">
        <x:v>273</x:v>
      </x:c>
      <x:c r="G14" s="9" t="n">
        <x:f>F14/E14</x:f>
        <x:v>0.546</x:v>
      </x:c>
      <x:c r="H14" s="11" t="n">
        <x:f>K14*'Summary'!$C$18</x:f>
        <x:v>7746.7407093882</x:v>
      </x:c>
      <x:c r="I14" s="11" t="n">
        <x:f>L14*'Summary'!$C$18</x:f>
        <x:v>7195.9413995221</x:v>
      </x:c>
      <x:c r="J14" s="11" t="n">
        <x:f>M14*'Summary'!$C$18</x:f>
        <x:v>0</x:v>
      </x:c>
      <x:c r="K14" s="12" t="n">
        <x:v>7.746740709388201</x:v>
      </x:c>
      <x:c r="L14" s="12" t="n">
        <x:v>7.1959413995221</x:v>
      </x:c>
      <x:c r="M14" s="12" t="n">
        <x:v>0</x:v>
      </x:c>
      <x:c r="N14" s="2" t="str">
        <x:v>1998-08</x:v>
      </x:c>
    </x:row>
    <x:row r="15" ht="22" customHeight="1">
      <x:c r="A15" s="8" t="d">
        <x:v>1998-09-30T00:00:00.000Z</x:v>
      </x:c>
      <x:c r="B15" s="8" t="d">
        <x:v>1998-09-01T00:00:00.000Z</x:v>
      </x:c>
      <x:c r="C15" s="2" t="str">
        <x:v>EXC</x:v>
      </x:c>
      <x:c r="D15" s="11" t="n">
        <x:f>9*'Summary'!$C$18</x:f>
        <x:v>9000</x:v>
      </x:c>
      <x:c r="E15" s="2" t="n">
        <x:v>500</x:v>
      </x:c>
      <x:c r="F15" s="2" t="n">
        <x:v>275</x:v>
      </x:c>
      <x:c r="G15" s="9" t="n">
        <x:f>F15/E15</x:f>
        <x:v>0.55</x:v>
      </x:c>
      <x:c r="H15" s="11" t="n">
        <x:f>K15*'Summary'!$C$18</x:f>
        <x:v>10016.0266373629</x:v>
      </x:c>
      <x:c r="I15" s="11" t="n">
        <x:f>L15*'Summary'!$C$18</x:f>
        <x:v>8716.8343908909</x:v>
      </x:c>
      <x:c r="J15" s="11" t="n">
        <x:f>M15*'Summary'!$C$18</x:f>
        <x:v>0</x:v>
      </x:c>
      <x:c r="K15" s="12" t="n">
        <x:v>10.0160266373629</x:v>
      </x:c>
      <x:c r="L15" s="12" t="n">
        <x:v>8.716834390890899</x:v>
      </x:c>
      <x:c r="M15" s="12" t="n">
        <x:v>0</x:v>
      </x:c>
      <x:c r="N15" s="2" t="str">
        <x:v>1998-09</x:v>
      </x:c>
    </x:row>
    <x:row r="16" ht="22" customHeight="1">
      <x:c r="A16" s="8" t="d">
        <x:v>1998-10-30T00:00:00.000Z</x:v>
      </x:c>
      <x:c r="B16" s="8" t="d">
        <x:v>1998-10-01T00:00:00.000Z</x:v>
      </x:c>
      <x:c r="C16" s="2" t="str">
        <x:v>NEM</x:v>
      </x:c>
      <x:c r="D16" s="11" t="n">
        <x:f>10*'Summary'!$C$18</x:f>
        <x:v>10000</x:v>
      </x:c>
      <x:c r="E16" s="2" t="n">
        <x:v>499</x:v>
      </x:c>
      <x:c r="F16" s="2" t="n">
        <x:v>275</x:v>
      </x:c>
      <x:c r="G16" s="9" t="n">
        <x:f>F16/E16</x:f>
        <x:v>0.5511022044088176</x:v>
      </x:c>
      <x:c r="H16" s="11" t="n">
        <x:f>K16*'Summary'!$C$18</x:f>
        <x:v>11398.7438984565</x:v>
      </x:c>
      <x:c r="I16" s="11" t="n">
        <x:f>L16*'Summary'!$C$18</x:f>
        <x:v>10523.2611042934</x:v>
      </x:c>
      <x:c r="J16" s="11" t="n">
        <x:f>M16*'Summary'!$C$18</x:f>
        <x:v>0</x:v>
      </x:c>
      <x:c r="K16" s="12" t="n">
        <x:v>11.3987438984565</x:v>
      </x:c>
      <x:c r="L16" s="12" t="n">
        <x:v>10.5232611042934</x:v>
      </x:c>
      <x:c r="M16" s="12" t="n">
        <x:v>0</x:v>
      </x:c>
      <x:c r="N16" s="2" t="str">
        <x:v>1998-10</x:v>
      </x:c>
    </x:row>
    <x:row r="17" ht="22" customHeight="1">
      <x:c r="A17" s="8" t="d">
        <x:v>1998-11-30T00:00:00.000Z</x:v>
      </x:c>
      <x:c r="B17" s="8" t="d">
        <x:v>1998-11-02T00:00:00.000Z</x:v>
      </x:c>
      <x:c r="C17" s="2" t="str">
        <x:v>PTC</x:v>
      </x:c>
      <x:c r="D17" s="11" t="n">
        <x:f>11*'Summary'!$C$18</x:f>
        <x:v>11000</x:v>
      </x:c>
      <x:c r="E17" s="2" t="n">
        <x:v>500</x:v>
      </x:c>
      <x:c r="F17" s="2" t="n">
        <x:v>277</x:v>
      </x:c>
      <x:c r="G17" s="9" t="n">
        <x:f>F17/E17</x:f>
        <x:v>0.554</x:v>
      </x:c>
      <x:c r="H17" s="11" t="n">
        <x:f>K17*'Summary'!$C$18</x:f>
        <x:v>12183.0365038398</x:v>
      </x:c>
      <x:c r="I17" s="11" t="n">
        <x:f>L17*'Summary'!$C$18</x:f>
        <x:v>12157.1567581395</x:v>
      </x:c>
      <x:c r="J17" s="11" t="n">
        <x:f>M17*'Summary'!$C$18</x:f>
        <x:v>0</x:v>
      </x:c>
      <x:c r="K17" s="12" t="n">
        <x:v>12.1830365038398</x:v>
      </x:c>
      <x:c r="L17" s="12" t="n">
        <x:v>12.1571567581395</x:v>
      </x:c>
      <x:c r="M17" s="12" t="n">
        <x:v>0</x:v>
      </x:c>
      <x:c r="N17" s="2" t="str">
        <x:v>1998-11</x:v>
      </x:c>
    </x:row>
    <x:row r="18" ht="22" customHeight="1">
      <x:c r="A18" s="8" t="d">
        <x:v>1998-12-31T00:00:00.000Z</x:v>
      </x:c>
      <x:c r="B18" s="8" t="d">
        <x:v>1998-12-01T00:00:00.000Z</x:v>
      </x:c>
      <x:c r="C18" s="2" t="str">
        <x:v>CAR</x:v>
      </x:c>
      <x:c r="D18" s="11" t="n">
        <x:f>12*'Summary'!$C$18</x:f>
        <x:v>12000</x:v>
      </x:c>
      <x:c r="E18" s="2" t="n">
        <x:v>500</x:v>
      </x:c>
      <x:c r="F18" s="2" t="n">
        <x:v>277</x:v>
      </x:c>
      <x:c r="G18" s="9" t="n">
        <x:f>F18/E18</x:f>
        <x:v>0.554</x:v>
      </x:c>
      <x:c r="H18" s="11" t="n">
        <x:f>K18*'Summary'!$C$18</x:f>
        <x:v>14241.3688890439</x:v>
      </x:c>
      <x:c r="I18" s="11" t="n">
        <x:f>L18*'Summary'!$C$18</x:f>
        <x:v>14017.9269107417</x:v>
      </x:c>
      <x:c r="J18" s="11" t="n">
        <x:f>M18*'Summary'!$C$18</x:f>
        <x:v>0</x:v>
      </x:c>
      <x:c r="K18" s="12" t="n">
        <x:v>14.241368889043901</x:v>
      </x:c>
      <x:c r="L18" s="12" t="n">
        <x:v>14.0179269107417</x:v>
      </x:c>
      <x:c r="M18" s="12" t="n">
        <x:v>0</x:v>
      </x:c>
      <x:c r="N18" s="2" t="str">
        <x:v>1998-12</x:v>
      </x:c>
    </x:row>
    <x:row r="19" ht="22" customHeight="1">
      <x:c r="A19" s="8" t="d">
        <x:v>1999-01-29T00:00:00.000Z</x:v>
      </x:c>
      <x:c r="B19" s="8" t="d">
        <x:v>1999-01-04T00:00:00.000Z</x:v>
      </x:c>
      <x:c r="C19" s="2" t="str">
        <x:v>SCHW</x:v>
      </x:c>
      <x:c r="D19" s="11" t="n">
        <x:f>13*'Summary'!$C$18</x:f>
        <x:v>13000</x:v>
      </x:c>
      <x:c r="E19" s="2" t="n">
        <x:v>500</x:v>
      </x:c>
      <x:c r="F19" s="2" t="n">
        <x:v>278</x:v>
      </x:c>
      <x:c r="G19" s="9" t="n">
        <x:f>F19/E19</x:f>
        <x:v>0.556</x:v>
      </x:c>
      <x:c r="H19" s="11" t="n">
        <x:f>K19*'Summary'!$C$18</x:f>
        <x:v>16566.3769242542</x:v>
      </x:c>
      <x:c r="I19" s="11" t="n">
        <x:f>L19*'Summary'!$C$18</x:f>
        <x:v>15546.4171384092</x:v>
      </x:c>
      <x:c r="J19" s="11" t="n">
        <x:f>M19*'Summary'!$C$18</x:f>
        <x:v>0</x:v>
      </x:c>
      <x:c r="K19" s="12" t="n">
        <x:v>16.5663769242542</x:v>
      </x:c>
      <x:c r="L19" s="12" t="n">
        <x:v>15.5464171384092</x:v>
      </x:c>
      <x:c r="M19" s="12" t="n">
        <x:v>0</x:v>
      </x:c>
      <x:c r="N19" s="2" t="str">
        <x:v>1999-01</x:v>
      </x:c>
    </x:row>
    <x:row r="20" ht="22" customHeight="1">
      <x:c r="A20" s="8" t="d">
        <x:v>1999-02-26T00:00:00.000Z</x:v>
      </x:c>
      <x:c r="B20" s="8" t="d">
        <x:v>1999-02-01T00:00:00.000Z</x:v>
      </x:c>
      <x:c r="C20" s="2" t="str">
        <x:v>MU</x:v>
      </x:c>
      <x:c r="D20" s="11" t="n">
        <x:f>14*'Summary'!$C$18</x:f>
        <x:v>14000</x:v>
      </x:c>
      <x:c r="E20" s="2" t="n">
        <x:v>500</x:v>
      </x:c>
      <x:c r="F20" s="2" t="n">
        <x:v>280</x:v>
      </x:c>
      <x:c r="G20" s="9" t="n">
        <x:f>F20/E20</x:f>
        <x:v>0.56</x:v>
      </x:c>
      <x:c r="H20" s="11" t="n">
        <x:f>K20*'Summary'!$C$18</x:f>
        <x:v>15575.9972736658</x:v>
      </x:c>
      <x:c r="I20" s="11" t="n">
        <x:f>L20*'Summary'!$C$18</x:f>
        <x:v>16008.041027049998</x:v>
      </x:c>
      <x:c r="J20" s="11" t="n">
        <x:f>M20*'Summary'!$C$18</x:f>
        <x:v>0</x:v>
      </x:c>
      <x:c r="K20" s="12" t="n">
        <x:v>15.5759972736658</x:v>
      </x:c>
      <x:c r="L20" s="12" t="n">
        <x:v>16.008041027049998</x:v>
      </x:c>
      <x:c r="M20" s="12" t="n">
        <x:v>0</x:v>
      </x:c>
      <x:c r="N20" s="2" t="str">
        <x:v>1999-02</x:v>
      </x:c>
    </x:row>
    <x:row r="21" ht="22" customHeight="1">
      <x:c r="A21" s="8" t="d">
        <x:v>1999-03-31T00:00:00.000Z</x:v>
      </x:c>
      <x:c r="B21" s="8" t="d">
        <x:v>1999-03-01T00:00:00.000Z</x:v>
      </x:c>
      <x:c r="C21" s="2" t="str">
        <x:v>BIG</x:v>
      </x:c>
      <x:c r="D21" s="11" t="n">
        <x:f>15*'Summary'!$C$18</x:f>
        <x:v>15000</x:v>
      </x:c>
      <x:c r="E21" s="2" t="n">
        <x:v>500</x:v>
      </x:c>
      <x:c r="F21" s="2" t="n">
        <x:v>280</x:v>
      </x:c>
      <x:c r="G21" s="9" t="n">
        <x:f>F21/E21</x:f>
        <x:v>0.56</x:v>
      </x:c>
      <x:c r="H21" s="11" t="n">
        <x:f>K21*'Summary'!$C$18</x:f>
        <x:v>17834.469371231</x:v>
      </x:c>
      <x:c r="I21" s="11" t="n">
        <x:f>L21*'Summary'!$C$18</x:f>
        <x:v>17712.5391621335</x:v>
      </x:c>
      <x:c r="J21" s="11" t="n">
        <x:f>M21*'Summary'!$C$18</x:f>
        <x:v>0</x:v>
      </x:c>
      <x:c r="K21" s="12" t="n">
        <x:v>17.834469371231</x:v>
      </x:c>
      <x:c r="L21" s="12" t="n">
        <x:v>17.7125391621335</x:v>
      </x:c>
      <x:c r="M21" s="12" t="n">
        <x:v>0</x:v>
      </x:c>
      <x:c r="N21" s="2" t="str">
        <x:v>1999-03</x:v>
      </x:c>
    </x:row>
    <x:row r="22" ht="22" customHeight="1">
      <x:c r="A22" s="8" t="d">
        <x:v>1999-04-30T00:00:00.000Z</x:v>
      </x:c>
      <x:c r="B22" s="8" t="d">
        <x:v>1999-04-01T00:00:00.000Z</x:v>
      </x:c>
      <x:c r="C22" s="2" t="str">
        <x:v>TWX-201806</x:v>
      </x:c>
      <x:c r="D22" s="11" t="n">
        <x:f>16*'Summary'!$C$18</x:f>
        <x:v>16000</x:v>
      </x:c>
      <x:c r="E22" s="2" t="n">
        <x:v>500</x:v>
      </x:c>
      <x:c r="F22" s="2" t="n">
        <x:v>281</x:v>
      </x:c>
      <x:c r="G22" s="9" t="n">
        <x:f>F22/E22</x:f>
        <x:v>0.562</x:v>
      </x:c>
      <x:c r="H22" s="11" t="n">
        <x:f>K22*'Summary'!$C$18</x:f>
        <x:v>19758.0068333194</x:v>
      </x:c>
      <x:c r="I22" s="11" t="n">
        <x:f>L22*'Summary'!$C$18</x:f>
        <x:v>19412.637111103</x:v>
      </x:c>
      <x:c r="J22" s="11" t="n">
        <x:f>M22*'Summary'!$C$18</x:f>
        <x:v>0</x:v>
      </x:c>
      <x:c r="K22" s="12" t="n">
        <x:v>19.7580068333194</x:v>
      </x:c>
      <x:c r="L22" s="12" t="n">
        <x:v>19.412637111103</x:v>
      </x:c>
      <x:c r="M22" s="12" t="n">
        <x:v>0</x:v>
      </x:c>
      <x:c r="N22" s="2" t="str">
        <x:v>1999-04</x:v>
      </x:c>
    </x:row>
    <x:row r="23" ht="22" customHeight="1">
      <x:c r="A23" s="8" t="d">
        <x:v>1999-05-28T00:00:00.000Z</x:v>
      </x:c>
      <x:c r="B23" s="8" t="d">
        <x:v>1999-05-03T00:00:00.000Z</x:v>
      </x:c>
      <x:c r="C23" s="2" t="str">
        <x:v>HWM</x:v>
      </x:c>
      <x:c r="D23" s="11" t="n">
        <x:f>17*'Summary'!$C$18</x:f>
        <x:v>17000</x:v>
      </x:c>
      <x:c r="E23" s="2" t="n">
        <x:v>500</x:v>
      </x:c>
      <x:c r="F23" s="2" t="n">
        <x:v>283</x:v>
      </x:c>
      <x:c r="G23" s="9" t="n">
        <x:f>F23/E23</x:f>
        <x:v>0.566</x:v>
      </x:c>
      <x:c r="H23" s="11" t="n">
        <x:f>K23*'Summary'!$C$18</x:f>
        <x:v>19772.1226991079</x:v>
      </x:c>
      <x:c r="I23" s="11" t="n">
        <x:f>L23*'Summary'!$C$18</x:f>
        <x:v>19944.5117159102</x:v>
      </x:c>
      <x:c r="J23" s="11" t="n">
        <x:f>M23*'Summary'!$C$18</x:f>
        <x:v>0</x:v>
      </x:c>
      <x:c r="K23" s="12" t="n">
        <x:v>19.7721226991079</x:v>
      </x:c>
      <x:c r="L23" s="12" t="n">
        <x:v>19.944511715910203</x:v>
      </x:c>
      <x:c r="M23" s="12" t="n">
        <x:v>0</x:v>
      </x:c>
      <x:c r="N23" s="2" t="str">
        <x:v>1999-05</x:v>
      </x:c>
    </x:row>
    <x:row r="24" ht="22" customHeight="1">
      <x:c r="A24" s="8" t="d">
        <x:v>1999-06-30T00:00:00.000Z</x:v>
      </x:c>
      <x:c r="B24" s="8" t="d">
        <x:v>1999-06-01T00:00:00.000Z</x:v>
      </x:c>
      <x:c r="C24" s="2" t="str">
        <x:v>PBY-201602</x:v>
      </x:c>
      <x:c r="D24" s="11" t="n">
        <x:f>18*'Summary'!$C$18</x:f>
        <x:v>18000</x:v>
      </x:c>
      <x:c r="E24" s="2" t="n">
        <x:v>500</x:v>
      </x:c>
      <x:c r="F24" s="2" t="n">
        <x:v>285</x:v>
      </x:c>
      <x:c r="G24" s="9" t="n">
        <x:f>F24/E24</x:f>
        <x:v>0.57</x:v>
      </x:c>
      <x:c r="H24" s="11" t="n">
        <x:f>K24*'Summary'!$C$18</x:f>
        <x:v>20902.7701041686</x:v>
      </x:c>
      <x:c r="I24" s="11" t="n">
        <x:f>L24*'Summary'!$C$18</x:f>
        <x:v>22105.0213596751</x:v>
      </x:c>
      <x:c r="J24" s="11" t="n">
        <x:f>M24*'Summary'!$C$18</x:f>
        <x:v>0</x:v>
      </x:c>
      <x:c r="K24" s="12" t="n">
        <x:v>20.902770104168603</x:v>
      </x:c>
      <x:c r="L24" s="12" t="n">
        <x:v>22.1050213596751</x:v>
      </x:c>
      <x:c r="M24" s="12" t="n">
        <x:v>0</x:v>
      </x:c>
      <x:c r="N24" s="2" t="str">
        <x:v>1999-06</x:v>
      </x:c>
    </x:row>
    <x:row r="25" ht="22" customHeight="1">
      <x:c r="A25" s="8" t="d">
        <x:v>1999-07-30T00:00:00.000Z</x:v>
      </x:c>
      <x:c r="B25" s="8" t="d">
        <x:v>1999-07-01T00:00:00.000Z</x:v>
      </x:c>
      <x:c r="C25" s="2" t="str">
        <x:v>ORCL</x:v>
      </x:c>
      <x:c r="D25" s="11" t="n">
        <x:f>19*'Summary'!$C$18</x:f>
        <x:v>19000</x:v>
      </x:c>
      <x:c r="E25" s="2" t="n">
        <x:v>500</x:v>
      </x:c>
      <x:c r="F25" s="2" t="n">
        <x:v>288</x:v>
      </x:c>
      <x:c r="G25" s="9" t="n">
        <x:f>F25/E25</x:f>
        <x:v>0.576</x:v>
      </x:c>
      <x:c r="H25" s="11" t="n">
        <x:f>K25*'Summary'!$C$18</x:f>
        <x:v>22305.1315812557</x:v>
      </x:c>
      <x:c r="I25" s="11" t="n">
        <x:f>L25*'Summary'!$C$18</x:f>
        <x:v>22388.2597481565</x:v>
      </x:c>
      <x:c r="J25" s="11" t="n">
        <x:f>M25*'Summary'!$C$18</x:f>
        <x:v>0</x:v>
      </x:c>
      <x:c r="K25" s="12" t="n">
        <x:v>22.3051315812557</x:v>
      </x:c>
      <x:c r="L25" s="12" t="n">
        <x:v>22.3882597481565</x:v>
      </x:c>
      <x:c r="M25" s="12" t="n">
        <x:v>0</x:v>
      </x:c>
      <x:c r="N25" s="2" t="str">
        <x:v>1999-07</x:v>
      </x:c>
    </x:row>
    <x:row r="26" ht="22" customHeight="1">
      <x:c r="A26" s="8" t="d">
        <x:v>1999-08-31T00:00:00.000Z</x:v>
      </x:c>
      <x:c r="B26" s="8" t="d">
        <x:v>1999-08-02T00:00:00.000Z</x:v>
      </x:c>
      <x:c r="C26" s="2" t="str">
        <x:v>MU</x:v>
      </x:c>
      <x:c r="D26" s="11" t="n">
        <x:f>20*'Summary'!$C$18</x:f>
        <x:v>20000</x:v>
      </x:c>
      <x:c r="E26" s="2" t="n">
        <x:v>500</x:v>
      </x:c>
      <x:c r="F26" s="2" t="n">
        <x:v>290</x:v>
      </x:c>
      <x:c r="G26" s="9" t="n">
        <x:f>F26/E26</x:f>
        <x:v>0.58</x:v>
      </x:c>
      <x:c r="H26" s="11" t="n">
        <x:f>K26*'Summary'!$C$18</x:f>
        <x:v>24674.0304427312</x:v>
      </x:c>
      <x:c r="I26" s="11" t="n">
        <x:f>L26*'Summary'!$C$18</x:f>
        <x:v>23267.1341091556</x:v>
      </x:c>
      <x:c r="J26" s="11" t="n">
        <x:f>M26*'Summary'!$C$18</x:f>
        <x:v>0</x:v>
      </x:c>
      <x:c r="K26" s="12" t="n">
        <x:v>24.6740304427312</x:v>
      </x:c>
      <x:c r="L26" s="12" t="n">
        <x:v>23.2671341091556</x:v>
      </x:c>
      <x:c r="M26" s="12" t="n">
        <x:v>0</x:v>
      </x:c>
      <x:c r="N26" s="2" t="str">
        <x:v>1999-08</x:v>
      </x:c>
    </x:row>
    <x:row r="27" ht="22" customHeight="1">
      <x:c r="A27" s="8" t="d">
        <x:v>1999-09-30T00:00:00.000Z</x:v>
      </x:c>
      <x:c r="B27" s="8" t="d">
        <x:v>1999-09-01T00:00:00.000Z</x:v>
      </x:c>
      <x:c r="C27" s="2" t="str">
        <x:v>LXK-201611</x:v>
      </x:c>
      <x:c r="D27" s="11" t="n">
        <x:f>21*'Summary'!$C$18</x:f>
        <x:v>21000</x:v>
      </x:c>
      <x:c r="E27" s="2" t="n">
        <x:v>500</x:v>
      </x:c>
      <x:c r="F27" s="2" t="n">
        <x:v>291</x:v>
      </x:c>
      <x:c r="G27" s="9" t="n">
        <x:f>F27/E27</x:f>
        <x:v>0.582</x:v>
      </x:c>
      <x:c r="H27" s="11" t="n">
        <x:f>K27*'Summary'!$C$18</x:f>
        <x:v>24780.4987335543</x:v>
      </x:c>
      <x:c r="I27" s="11" t="n">
        <x:f>L27*'Summary'!$C$18</x:f>
        <x:v>23718.6437704437</x:v>
      </x:c>
      <x:c r="J27" s="11" t="n">
        <x:f>M27*'Summary'!$C$18</x:f>
        <x:v>0</x:v>
      </x:c>
      <x:c r="K27" s="12" t="n">
        <x:v>24.7804987335543</x:v>
      </x:c>
      <x:c r="L27" s="12" t="n">
        <x:v>23.718643770443702</x:v>
      </x:c>
      <x:c r="M27" s="12" t="n">
        <x:v>0</x:v>
      </x:c>
      <x:c r="N27" s="2" t="str">
        <x:v>1999-09</x:v>
      </x:c>
    </x:row>
    <x:row r="28" ht="22" customHeight="1">
      <x:c r="A28" s="8" t="d">
        <x:v>1999-10-29T00:00:00.000Z</x:v>
      </x:c>
      <x:c r="B28" s="8" t="d">
        <x:v>1999-10-01T00:00:00.000Z</x:v>
      </x:c>
      <x:c r="C28" s="2" t="str">
        <x:v>BIG</x:v>
      </x:c>
      <x:c r="D28" s="11" t="n">
        <x:f>22*'Summary'!$C$18</x:f>
        <x:v>22000</x:v>
      </x:c>
      <x:c r="E28" s="2" t="n">
        <x:v>500</x:v>
      </x:c>
      <x:c r="F28" s="2" t="n">
        <x:v>291</x:v>
      </x:c>
      <x:c r="G28" s="9" t="n">
        <x:f>F28/E28</x:f>
        <x:v>0.582</x:v>
      </x:c>
      <x:c r="H28" s="11" t="n">
        <x:f>K28*'Summary'!$C$18</x:f>
        <x:v>27028.0971844788</x:v>
      </x:c>
      <x:c r="I28" s="11" t="n">
        <x:f>L28*'Summary'!$C$18</x:f>
        <x:v>26309.3145653314</x:v>
      </x:c>
      <x:c r="J28" s="11" t="n">
        <x:f>M28*'Summary'!$C$18</x:f>
        <x:v>0</x:v>
      </x:c>
      <x:c r="K28" s="12" t="n">
        <x:v>27.0280971844788</x:v>
      </x:c>
      <x:c r="L28" s="12" t="n">
        <x:v>26.3093145653314</x:v>
      </x:c>
      <x:c r="M28" s="12" t="n">
        <x:v>0</x:v>
      </x:c>
      <x:c r="N28" s="2" t="str">
        <x:v>1999-10</x:v>
      </x:c>
    </x:row>
    <x:row r="29" ht="22" customHeight="1">
      <x:c r="A29" s="8" t="d">
        <x:v>1999-11-30T00:00:00.000Z</x:v>
      </x:c>
      <x:c r="B29" s="8" t="d">
        <x:v>1999-11-01T00:00:00.000Z</x:v>
      </x:c>
      <x:c r="C29" s="2" t="str">
        <x:v>PTC</x:v>
      </x:c>
      <x:c r="D29" s="11" t="n">
        <x:f>23*'Summary'!$C$18</x:f>
        <x:v>23000</x:v>
      </x:c>
      <x:c r="E29" s="2" t="n">
        <x:v>500</x:v>
      </x:c>
      <x:c r="F29" s="2" t="n">
        <x:v>295</x:v>
      </x:c>
      <x:c r="G29" s="9" t="n">
        <x:f>F29/E29</x:f>
        <x:v>0.59</x:v>
      </x:c>
      <x:c r="H29" s="11" t="n">
        <x:f>K29*'Summary'!$C$18</x:f>
        <x:v>29338.6947106759</x:v>
      </x:c>
      <x:c r="I29" s="11" t="n">
        <x:f>L29*'Summary'!$C$18</x:f>
        <x:v>27767.7785184983</x:v>
      </x:c>
      <x:c r="J29" s="11" t="n">
        <x:f>M29*'Summary'!$C$18</x:f>
        <x:v>0</x:v>
      </x:c>
      <x:c r="K29" s="12" t="n">
        <x:v>29.3386947106759</x:v>
      </x:c>
      <x:c r="L29" s="12" t="n">
        <x:v>27.7677785184983</x:v>
      </x:c>
      <x:c r="M29" s="12" t="n">
        <x:v>0</x:v>
      </x:c>
      <x:c r="N29" s="2" t="str">
        <x:v>1999-11</x:v>
      </x:c>
    </x:row>
    <x:row r="30" ht="22" customHeight="1">
      <x:c r="A30" s="8" t="d">
        <x:v>1999-12-31T00:00:00.000Z</x:v>
      </x:c>
      <x:c r="B30" s="8" t="d">
        <x:v>1999-12-01T00:00:00.000Z</x:v>
      </x:c>
      <x:c r="C30" s="2" t="str">
        <x:v>QCOM</x:v>
      </x:c>
      <x:c r="D30" s="11" t="n">
        <x:f>24*'Summary'!$C$18</x:f>
        <x:v>24000</x:v>
      </x:c>
      <x:c r="E30" s="2" t="n">
        <x:v>499</x:v>
      </x:c>
      <x:c r="F30" s="2" t="n">
        <x:v>296</x:v>
      </x:c>
      <x:c r="G30" s="9" t="n">
        <x:f>F30/E30</x:f>
        <x:v>0.593186372745491</x:v>
      </x:c>
      <x:c r="H30" s="11" t="n">
        <x:f>K30*'Summary'!$C$18</x:f>
        <x:v>35743.7885834757</x:v>
      </x:c>
      <x:c r="I30" s="11" t="n">
        <x:f>L30*'Summary'!$C$18</x:f>
        <x:v>30410.4508726144</x:v>
      </x:c>
      <x:c r="J30" s="11" t="n">
        <x:f>M30*'Summary'!$C$18</x:f>
        <x:v>0</x:v>
      </x:c>
      <x:c r="K30" s="12" t="n">
        <x:v>35.743788583475705</x:v>
      </x:c>
      <x:c r="L30" s="12" t="n">
        <x:v>30.4104508726144</x:v>
      </x:c>
      <x:c r="M30" s="12" t="n">
        <x:v>0</x:v>
      </x:c>
      <x:c r="N30" s="2" t="str">
        <x:v>1999-12</x:v>
      </x:c>
    </x:row>
    <x:row r="31" ht="22" customHeight="1">
      <x:c r="A31" s="8" t="d">
        <x:v>2000-01-31T00:00:00.000Z</x:v>
      </x:c>
      <x:c r="B31" s="8" t="d">
        <x:v>2000-01-03T00:00:00.000Z</x:v>
      </x:c>
      <x:c r="C31" s="2" t="str">
        <x:v>AABA</x:v>
      </x:c>
      <x:c r="D31" s="11" t="n">
        <x:f>25*'Summary'!$C$18</x:f>
        <x:v>25000</x:v>
      </x:c>
      <x:c r="E31" s="2" t="n">
        <x:v>500</x:v>
      </x:c>
      <x:c r="F31" s="2" t="n">
        <x:v>299</x:v>
      </x:c>
      <x:c r="G31" s="9" t="n">
        <x:f>F31/E31</x:f>
        <x:v>0.598</x:v>
      </x:c>
      <x:c r="H31" s="11" t="n">
        <x:f>K31*'Summary'!$C$18</x:f>
        <x:v>32162.4648200401</x:v>
      </x:c>
      <x:c r="I31" s="11" t="n">
        <x:f>L31*'Summary'!$C$18</x:f>
        <x:v>29837.7983004059</x:v>
      </x:c>
      <x:c r="J31" s="11" t="n">
        <x:f>M31*'Summary'!$C$18</x:f>
        <x:v>0</x:v>
      </x:c>
      <x:c r="K31" s="12" t="n">
        <x:v>32.1624648200401</x:v>
      </x:c>
      <x:c r="L31" s="12" t="n">
        <x:v>29.8377983004059</x:v>
      </x:c>
      <x:c r="M31" s="12" t="n">
        <x:v>0</x:v>
      </x:c>
      <x:c r="N31" s="2" t="str">
        <x:v>2000-01</x:v>
      </x:c>
    </x:row>
    <x:row r="32" ht="22" customHeight="1">
      <x:c r="A32" s="8" t="d">
        <x:v>2000-02-29T00:00:00.000Z</x:v>
      </x:c>
      <x:c r="B32" s="8" t="d">
        <x:v>2000-02-01T00:00:00.000Z</x:v>
      </x:c>
      <x:c r="C32" s="2" t="str">
        <x:v>MDT</x:v>
      </x:c>
      <x:c r="D32" s="11" t="n">
        <x:f>26*'Summary'!$C$18</x:f>
        <x:v>26000</x:v>
      </x:c>
      <x:c r="E32" s="2" t="n">
        <x:v>500</x:v>
      </x:c>
      <x:c r="F32" s="2" t="n">
        <x:v>300</x:v>
      </x:c>
      <x:c r="G32" s="9" t="n">
        <x:f>F32/E32</x:f>
        <x:v>0.6</x:v>
      </x:c>
      <x:c r="H32" s="11" t="n">
        <x:f>K32*'Summary'!$C$18</x:f>
        <x:v>37900.83114887</x:v>
      </x:c>
      <x:c r="I32" s="11" t="n">
        <x:f>L32*'Summary'!$C$18</x:f>
        <x:v>30366.9360075514</x:v>
      </x:c>
      <x:c r="J32" s="11" t="n">
        <x:f>M32*'Summary'!$C$18</x:f>
        <x:v>0</x:v>
      </x:c>
      <x:c r="K32" s="12" t="n">
        <x:v>37.90083114887</x:v>
      </x:c>
      <x:c r="L32" s="12" t="n">
        <x:v>30.366936007551402</x:v>
      </x:c>
      <x:c r="M32" s="12" t="n">
        <x:v>0</x:v>
      </x:c>
      <x:c r="N32" s="2" t="str">
        <x:v>2000-02</x:v>
      </x:c>
    </x:row>
    <x:row r="33" ht="22" customHeight="1">
      <x:c r="A33" s="8" t="d">
        <x:v>2000-03-31T00:00:00.000Z</x:v>
      </x:c>
      <x:c r="B33" s="8" t="d">
        <x:v>2000-03-01T00:00:00.000Z</x:v>
      </x:c>
      <x:c r="C33" s="2" t="str">
        <x:v>NTAP</x:v>
      </x:c>
      <x:c r="D33" s="11" t="n">
        <x:f>27*'Summary'!$C$18</x:f>
        <x:v>27000</x:v>
      </x:c>
      <x:c r="E33" s="2" t="n">
        <x:v>500</x:v>
      </x:c>
      <x:c r="F33" s="2" t="n">
        <x:v>300</x:v>
      </x:c>
      <x:c r="G33" s="9" t="n">
        <x:f>F33/E33</x:f>
        <x:v>0.6</x:v>
      </x:c>
      <x:c r="H33" s="11" t="n">
        <x:f>K33*'Summary'!$C$18</x:f>
        <x:v>42635.898198969</x:v>
      </x:c>
      <x:c r="I33" s="11" t="n">
        <x:f>L33*'Summary'!$C$18</x:f>
        <x:v>34405.3529574843</x:v>
      </x:c>
      <x:c r="J33" s="11" t="n">
        <x:f>M33*'Summary'!$C$18</x:f>
        <x:v>0</x:v>
      </x:c>
      <x:c r="K33" s="12" t="n">
        <x:v>42.635898198969</x:v>
      </x:c>
      <x:c r="L33" s="12" t="n">
        <x:v>34.4053529574843</x:v>
      </x:c>
      <x:c r="M33" s="12" t="n">
        <x:v>0</x:v>
      </x:c>
      <x:c r="N33" s="2" t="str">
        <x:v>2000-03</x:v>
      </x:c>
    </x:row>
    <x:row r="34" ht="22" customHeight="1">
      <x:c r="A34" s="8" t="d">
        <x:v>2000-04-28T00:00:00.000Z</x:v>
      </x:c>
      <x:c r="B34" s="8" t="d">
        <x:v>2000-04-03T00:00:00.000Z</x:v>
      </x:c>
      <x:c r="C34" s="2" t="str">
        <x:v>HIG</x:v>
      </x:c>
      <x:c r="D34" s="11" t="n">
        <x:f>28*'Summary'!$C$18</x:f>
        <x:v>28000</x:v>
      </x:c>
      <x:c r="E34" s="2" t="n">
        <x:v>500</x:v>
      </x:c>
      <x:c r="F34" s="2" t="n">
        <x:v>299</x:v>
      </x:c>
      <x:c r="G34" s="9" t="n">
        <x:f>F34/E34</x:f>
        <x:v>0.598</x:v>
      </x:c>
      <x:c r="H34" s="11" t="n">
        <x:f>K34*'Summary'!$C$18</x:f>
        <x:v>41271.10951707</x:v>
      </x:c>
      <x:c r="I34" s="11" t="n">
        <x:f>L34*'Summary'!$C$18</x:f>
        <x:v>34163.5049193267</x:v>
      </x:c>
      <x:c r="J34" s="11" t="n">
        <x:f>M34*'Summary'!$C$18</x:f>
        <x:v>0</x:v>
      </x:c>
      <x:c r="K34" s="12" t="n">
        <x:v>41.27110951707</x:v>
      </x:c>
      <x:c r="L34" s="12" t="n">
        <x:v>34.1635049193267</x:v>
      </x:c>
      <x:c r="M34" s="12" t="n">
        <x:v>0</x:v>
      </x:c>
      <x:c r="N34" s="2" t="str">
        <x:v>2000-04</x:v>
      </x:c>
    </x:row>
    <x:row r="35" ht="22" customHeight="1">
      <x:c r="A35" s="8" t="d">
        <x:v>2000-05-31T00:00:00.000Z</x:v>
      </x:c>
      <x:c r="B35" s="8" t="d">
        <x:v>2000-05-01T00:00:00.000Z</x:v>
      </x:c>
      <x:c r="C35" s="2" t="str">
        <x:v>AMD</x:v>
      </x:c>
      <x:c r="D35" s="11" t="n">
        <x:f>29*'Summary'!$C$18</x:f>
        <x:v>29000</x:v>
      </x:c>
      <x:c r="E35" s="2" t="n">
        <x:v>500</x:v>
      </x:c>
      <x:c r="F35" s="2" t="n">
        <x:v>300</x:v>
      </x:c>
      <x:c r="G35" s="9" t="n">
        <x:f>F35/E35</x:f>
        <x:v>0.6</x:v>
      </x:c>
      <x:c r="H35" s="11" t="n">
        <x:f>K35*'Summary'!$C$18</x:f>
        <x:v>38430.3225593549</x:v>
      </x:c>
      <x:c r="I35" s="11" t="n">
        <x:f>L35*'Summary'!$C$18</x:f>
        <x:v>34600.7796769238</x:v>
      </x:c>
      <x:c r="J35" s="11" t="n">
        <x:f>M35*'Summary'!$C$18</x:f>
        <x:v>0</x:v>
      </x:c>
      <x:c r="K35" s="12" t="n">
        <x:v>38.4303225593549</x:v>
      </x:c>
      <x:c r="L35" s="12" t="n">
        <x:v>34.6007796769238</x:v>
      </x:c>
      <x:c r="M35" s="12" t="n">
        <x:v>0</x:v>
      </x:c>
      <x:c r="N35" s="2" t="str">
        <x:v>2000-05</x:v>
      </x:c>
    </x:row>
    <x:row r="36" ht="22" customHeight="1">
      <x:c r="A36" s="8" t="d">
        <x:v>2000-06-30T00:00:00.000Z</x:v>
      </x:c>
      <x:c r="B36" s="8" t="d">
        <x:v>2000-06-01T00:00:00.000Z</x:v>
      </x:c>
      <x:c r="C36" s="2" t="str">
        <x:v>PGR</x:v>
      </x:c>
      <x:c r="D36" s="11" t="n">
        <x:f>30*'Summary'!$C$18</x:f>
        <x:v>30000</x:v>
      </x:c>
      <x:c r="E36" s="2" t="n">
        <x:v>500</x:v>
      </x:c>
      <x:c r="F36" s="2" t="n">
        <x:v>302</x:v>
      </x:c>
      <x:c r="G36" s="9" t="n">
        <x:f>F36/E36</x:f>
        <x:v>0.604</x:v>
      </x:c>
      <x:c r="H36" s="11" t="n">
        <x:f>K36*'Summary'!$C$18</x:f>
        <x:v>42956.8348087112</x:v>
      </x:c>
      <x:c r="I36" s="11" t="n">
        <x:f>L36*'Summary'!$C$18</x:f>
        <x:v>36295.2559899463</x:v>
      </x:c>
      <x:c r="J36" s="11" t="n">
        <x:f>M36*'Summary'!$C$18</x:f>
        <x:v>0</x:v>
      </x:c>
      <x:c r="K36" s="12" t="n">
        <x:v>42.9568348087112</x:v>
      </x:c>
      <x:c r="L36" s="12" t="n">
        <x:v>36.2952559899463</x:v>
      </x:c>
      <x:c r="M36" s="12" t="n">
        <x:v>0</x:v>
      </x:c>
      <x:c r="N36" s="2" t="str">
        <x:v>2000-06</x:v>
      </x:c>
    </x:row>
    <x:row r="37" ht="22" customHeight="1">
      <x:c r="A37" s="8" t="d">
        <x:v>2000-07-31T00:00:00.000Z</x:v>
      </x:c>
      <x:c r="B37" s="8" t="d">
        <x:v>2000-07-03T00:00:00.000Z</x:v>
      </x:c>
      <x:c r="C37" s="2" t="str">
        <x:v>GLW</x:v>
      </x:c>
      <x:c r="D37" s="11" t="n">
        <x:f>31*'Summary'!$C$18</x:f>
        <x:v>31000</x:v>
      </x:c>
      <x:c r="E37" s="2" t="n">
        <x:v>499</x:v>
      </x:c>
      <x:c r="F37" s="2" t="n">
        <x:v>306</x:v>
      </x:c>
      <x:c r="G37" s="9" t="n">
        <x:f>F37/E37</x:f>
        <x:v>0.6132264529058116</x:v>
      </x:c>
      <x:c r="H37" s="11" t="n">
        <x:f>K37*'Summary'!$C$18</x:f>
        <x:v>42120.0506611019</x:v>
      </x:c>
      <x:c r="I37" s="11" t="n">
        <x:f>L37*'Summary'!$C$18</x:f>
        <x:v>36708.5771582742</x:v>
      </x:c>
      <x:c r="J37" s="11" t="n">
        <x:f>M37*'Summary'!$C$18</x:f>
        <x:v>0</x:v>
      </x:c>
      <x:c r="K37" s="12" t="n">
        <x:v>42.1200506611019</x:v>
      </x:c>
      <x:c r="L37" s="12" t="n">
        <x:v>36.7085771582742</x:v>
      </x:c>
      <x:c r="M37" s="12" t="n">
        <x:v>0</x:v>
      </x:c>
      <x:c r="N37" s="2" t="str">
        <x:v>2000-07</x:v>
      </x:c>
    </x:row>
    <x:row r="38" ht="22" customHeight="1">
      <x:c r="A38" s="8" t="d">
        <x:v>2000-08-31T00:00:00.000Z</x:v>
      </x:c>
      <x:c r="B38" s="8" t="d">
        <x:v>2000-08-01T00:00:00.000Z</x:v>
      </x:c>
      <x:c r="C38" s="2" t="str">
        <x:v>HUM</x:v>
      </x:c>
      <x:c r="D38" s="11" t="n">
        <x:f>32*'Summary'!$C$18</x:f>
        <x:v>32000</x:v>
      </x:c>
      <x:c r="E38" s="2" t="n">
        <x:v>499</x:v>
      </x:c>
      <x:c r="F38" s="2" t="n">
        <x:v>307</x:v>
      </x:c>
      <x:c r="G38" s="9" t="n">
        <x:f>F38/E38</x:f>
        <x:v>0.6152304609218436</x:v>
      </x:c>
      <x:c r="H38" s="11" t="n">
        <x:f>K38*'Summary'!$C$18</x:f>
        <x:v>47802.3218651331</x:v>
      </x:c>
      <x:c r="I38" s="11" t="n">
        <x:f>L38*'Summary'!$C$18</x:f>
        <x:v>40167.8539220621</x:v>
      </x:c>
      <x:c r="J38" s="11" t="n">
        <x:f>M38*'Summary'!$C$18</x:f>
        <x:v>0</x:v>
      </x:c>
      <x:c r="K38" s="12" t="n">
        <x:v>47.802321865133095</x:v>
      </x:c>
      <x:c r="L38" s="12" t="n">
        <x:v>40.1678539220621</x:v>
      </x:c>
      <x:c r="M38" s="12" t="n">
        <x:v>0</x:v>
      </x:c>
      <x:c r="N38" s="2" t="str">
        <x:v>2000-08</x:v>
      </x:c>
    </x:row>
    <x:row r="39" ht="22" customHeight="1">
      <x:c r="A39" s="8" t="d">
        <x:v>2000-09-29T00:00:00.000Z</x:v>
      </x:c>
      <x:c r="B39" s="8" t="d">
        <x:v>2000-09-01T00:00:00.000Z</x:v>
      </x:c>
      <x:c r="C39" s="2" t="str">
        <x:v>LXK-201611</x:v>
      </x:c>
      <x:c r="D39" s="11" t="n">
        <x:f>33*'Summary'!$C$18</x:f>
        <x:v>33000</x:v>
      </x:c>
      <x:c r="E39" s="2" t="n">
        <x:v>499</x:v>
      </x:c>
      <x:c r="F39" s="2" t="n">
        <x:v>308</x:v>
      </x:c>
      <x:c r="G39" s="9" t="n">
        <x:f>F39/E39</x:f>
        <x:v>0.6172344689378757</x:v>
      </x:c>
      <x:c r="H39" s="11" t="n">
        <x:f>K39*'Summary'!$C$18</x:f>
        <x:v>38653.5490868039</x:v>
      </x:c>
      <x:c r="I39" s="11" t="n">
        <x:f>L39*'Summary'!$C$18</x:f>
        <x:v>38903.7037068312</x:v>
      </x:c>
      <x:c r="J39" s="11" t="n">
        <x:f>M39*'Summary'!$C$18</x:f>
        <x:v>0</x:v>
      </x:c>
      <x:c r="K39" s="12" t="n">
        <x:v>38.6535490868039</x:v>
      </x:c>
      <x:c r="L39" s="12" t="n">
        <x:v>38.9037037068312</x:v>
      </x:c>
      <x:c r="M39" s="12" t="n">
        <x:v>0</x:v>
      </x:c>
      <x:c r="N39" s="2" t="str">
        <x:v>2000-09</x:v>
      </x:c>
    </x:row>
    <x:row r="40" ht="22" customHeight="1">
      <x:c r="A40" s="8" t="d">
        <x:v>2000-10-31T00:00:00.000Z</x:v>
      </x:c>
      <x:c r="B40" s="8" t="d">
        <x:v>2000-10-02T00:00:00.000Z</x:v>
      </x:c>
      <x:c r="C40" s="2" t="str">
        <x:v>MDR</x:v>
      </x:c>
      <x:c r="D40" s="11" t="n">
        <x:f>34*'Summary'!$C$18</x:f>
        <x:v>34000</x:v>
      </x:c>
      <x:c r="E40" s="2" t="n">
        <x:v>499</x:v>
      </x:c>
      <x:c r="F40" s="2" t="n">
        <x:v>308</x:v>
      </x:c>
      <x:c r="G40" s="9" t="n">
        <x:f>F40/E40</x:f>
        <x:v>0.6172344689378757</x:v>
      </x:c>
      <x:c r="H40" s="11" t="n">
        <x:f>K40*'Summary'!$C$18</x:f>
        <x:v>36572.3166005499</x:v>
      </x:c>
      <x:c r="I40" s="11" t="n">
        <x:f>L40*'Summary'!$C$18</x:f>
        <x:v>39712.5078142451</x:v>
      </x:c>
      <x:c r="J40" s="11" t="n">
        <x:f>M40*'Summary'!$C$18</x:f>
        <x:v>0</x:v>
      </x:c>
      <x:c r="K40" s="12" t="n">
        <x:v>36.572316600549904</x:v>
      </x:c>
      <x:c r="L40" s="12" t="n">
        <x:v>39.7125078142451</x:v>
      </x:c>
      <x:c r="M40" s="12" t="n">
        <x:v>0</x:v>
      </x:c>
      <x:c r="N40" s="2" t="str">
        <x:v>2000-10</x:v>
      </x:c>
    </x:row>
    <x:row r="41" ht="22" customHeight="1">
      <x:c r="A41" s="8" t="d">
        <x:v>2000-11-30T00:00:00.000Z</x:v>
      </x:c>
      <x:c r="B41" s="8" t="d">
        <x:v>2000-11-01T00:00:00.000Z</x:v>
      </x:c>
      <x:c r="C41" s="2" t="str">
        <x:v>HON</x:v>
      </x:c>
      <x:c r="D41" s="11" t="n">
        <x:f>35*'Summary'!$C$18</x:f>
        <x:v>35000</x:v>
      </x:c>
      <x:c r="E41" s="2" t="n">
        <x:v>499</x:v>
      </x:c>
      <x:c r="F41" s="2" t="n">
        <x:v>309</x:v>
      </x:c>
      <x:c r="G41" s="9" t="n">
        <x:f>F41/E41</x:f>
        <x:v>0.6192384769539078</x:v>
      </x:c>
      <x:c r="H41" s="11" t="n">
        <x:f>K41*'Summary'!$C$18</x:f>
        <x:v>33818.2521112634</x:v>
      </x:c>
      <x:c r="I41" s="11" t="n">
        <x:f>L41*'Summary'!$C$18</x:f>
        <x:v>37677.7721714334</x:v>
      </x:c>
      <x:c r="J41" s="11" t="n">
        <x:f>M41*'Summary'!$C$18</x:f>
        <x:v>0</x:v>
      </x:c>
      <x:c r="K41" s="12" t="n">
        <x:v>33.8182521112634</x:v>
      </x:c>
      <x:c r="L41" s="12" t="n">
        <x:v>37.677772171433396</x:v>
      </x:c>
      <x:c r="M41" s="12" t="n">
        <x:v>0</x:v>
      </x:c>
      <x:c r="N41" s="2" t="str">
        <x:v>2000-11</x:v>
      </x:c>
    </x:row>
    <x:row r="42" ht="22" customHeight="1">
      <x:c r="A42" s="8" t="d">
        <x:v>2000-12-29T00:00:00.000Z</x:v>
      </x:c>
      <x:c r="B42" s="8" t="d">
        <x:v>2000-12-01T00:00:00.000Z</x:v>
      </x:c>
      <x:c r="C42" s="2" t="str">
        <x:v>QCOM</x:v>
      </x:c>
      <x:c r="D42" s="11" t="n">
        <x:f>36*'Summary'!$C$18</x:f>
        <x:v>36000</x:v>
      </x:c>
      <x:c r="E42" s="2" t="n">
        <x:v>499</x:v>
      </x:c>
      <x:c r="F42" s="2" t="n">
        <x:v>314</x:v>
      </x:c>
      <x:c r="G42" s="9" t="n">
        <x:f>F42/E42</x:f>
        <x:v>0.6292585170340681</x:v>
      </x:c>
      <x:c r="H42" s="11" t="n">
        <x:f>K42*'Summary'!$C$18</x:f>
        <x:v>37303.2803555144</x:v>
      </x:c>
      <x:c r="I42" s="11" t="n">
        <x:f>L42*'Summary'!$C$18</x:f>
        <x:v>38468.8557414511</x:v>
      </x:c>
      <x:c r="J42" s="11" t="n">
        <x:f>M42*'Summary'!$C$18</x:f>
        <x:v>0</x:v>
      </x:c>
      <x:c r="K42" s="12" t="n">
        <x:v>37.303280355514396</x:v>
      </x:c>
      <x:c r="L42" s="12" t="n">
        <x:v>38.4688557414511</x:v>
      </x:c>
      <x:c r="M42" s="12" t="n">
        <x:v>0</x:v>
      </x:c>
      <x:c r="N42" s="2" t="str">
        <x:v>2000-12</x:v>
      </x:c>
    </x:row>
    <x:row r="43" ht="22" customHeight="1">
      <x:c r="A43" s="8" t="d">
        <x:v>2001-01-31T00:00:00.000Z</x:v>
      </x:c>
      <x:c r="B43" s="8" t="d">
        <x:v>2001-01-02T00:00:00.000Z</x:v>
      </x:c>
      <x:c r="C43" s="2" t="str">
        <x:v>LPX</x:v>
      </x:c>
      <x:c r="D43" s="11" t="n">
        <x:f>37*'Summary'!$C$18</x:f>
        <x:v>37000</x:v>
      </x:c>
      <x:c r="E43" s="2" t="n">
        <x:v>499</x:v>
      </x:c>
      <x:c r="F43" s="2" t="n">
        <x:v>317</x:v>
      </x:c>
      <x:c r="G43" s="9" t="n">
        <x:f>F43/E43</x:f>
        <x:v>0.6352705410821643</x:v>
      </x:c>
      <x:c r="H43" s="11" t="n">
        <x:f>K43*'Summary'!$C$18</x:f>
        <x:v>41144.1562595632</x:v>
      </x:c>
      <x:c r="I43" s="11" t="n">
        <x:f>L43*'Summary'!$C$18</x:f>
        <x:v>41217.1844320195</x:v>
      </x:c>
      <x:c r="J43" s="11" t="n">
        <x:f>M43*'Summary'!$C$18</x:f>
        <x:v>0</x:v>
      </x:c>
      <x:c r="K43" s="12" t="n">
        <x:v>41.144156259563196</x:v>
      </x:c>
      <x:c r="L43" s="12" t="n">
        <x:v>41.2171844320195</x:v>
      </x:c>
      <x:c r="M43" s="12" t="n">
        <x:v>0</x:v>
      </x:c>
      <x:c r="N43" s="2" t="str">
        <x:v>2001-01</x:v>
      </x:c>
    </x:row>
    <x:row r="44" ht="22" customHeight="1">
      <x:c r="A44" s="8" t="d">
        <x:v>2001-02-28T00:00:00.000Z</x:v>
      </x:c>
      <x:c r="B44" s="8" t="d">
        <x:v>2001-02-01T00:00:00.000Z</x:v>
      </x:c>
      <x:c r="C44" s="2" t="str">
        <x:v>CPWR-201412</x:v>
      </x:c>
      <x:c r="D44" s="11" t="n">
        <x:f>38*'Summary'!$C$18</x:f>
        <x:v>38000</x:v>
      </x:c>
      <x:c r="E44" s="2" t="n">
        <x:v>499</x:v>
      </x:c>
      <x:c r="F44" s="2" t="n">
        <x:v>320</x:v>
      </x:c>
      <x:c r="G44" s="9" t="n">
        <x:f>F44/E44</x:f>
        <x:v>0.6412825651302605</x:v>
      </x:c>
      <x:c r="H44" s="11" t="n">
        <x:f>K44*'Summary'!$C$18</x:f>
        <x:v>37643.8175904481</x:v>
      </x:c>
      <x:c r="I44" s="11" t="n">
        <x:f>L44*'Summary'!$C$18</x:f>
        <x:v>38189.6612898135</x:v>
      </x:c>
      <x:c r="J44" s="11" t="n">
        <x:f>M44*'Summary'!$C$18</x:f>
        <x:v>0</x:v>
      </x:c>
      <x:c r="K44" s="12" t="n">
        <x:v>37.6438175904481</x:v>
      </x:c>
      <x:c r="L44" s="12" t="n">
        <x:v>38.1896612898135</x:v>
      </x:c>
      <x:c r="M44" s="12" t="n">
        <x:v>0</x:v>
      </x:c>
      <x:c r="N44" s="2" t="str">
        <x:v>2001-02</x:v>
      </x:c>
    </x:row>
    <x:row r="45" ht="22" customHeight="1">
      <x:c r="A45" s="8" t="d">
        <x:v>2001-03-30T00:00:00.000Z</x:v>
      </x:c>
      <x:c r="B45" s="8" t="d">
        <x:v>2001-03-01T00:00:00.000Z</x:v>
      </x:c>
      <x:c r="C45" s="2" t="str">
        <x:v>SYK</x:v>
      </x:c>
      <x:c r="D45" s="11" t="n">
        <x:f>39*'Summary'!$C$18</x:f>
        <x:v>39000</x:v>
      </x:c>
      <x:c r="E45" s="2" t="n">
        <x:v>499</x:v>
      </x:c>
      <x:c r="F45" s="2" t="n">
        <x:v>325</x:v>
      </x:c>
      <x:c r="G45" s="9" t="n">
        <x:f>F45/E45</x:f>
        <x:v>0.6513026052104208</x:v>
      </x:c>
      <x:c r="H45" s="11" t="n">
        <x:f>K45*'Summary'!$C$18</x:f>
        <x:v>37169.9321093068</x:v>
      </x:c>
      <x:c r="I45" s="11" t="n">
        <x:f>L45*'Summary'!$C$18</x:f>
        <x:v>36992.8218884332</x:v>
      </x:c>
      <x:c r="J45" s="11" t="n">
        <x:f>M45*'Summary'!$C$18</x:f>
        <x:v>0</x:v>
      </x:c>
      <x:c r="K45" s="12" t="n">
        <x:v>37.1699321093068</x:v>
      </x:c>
      <x:c r="L45" s="12" t="n">
        <x:v>36.9928218884332</x:v>
      </x:c>
      <x:c r="M45" s="12" t="n">
        <x:v>0</x:v>
      </x:c>
      <x:c r="N45" s="2" t="str">
        <x:v>2001-03</x:v>
      </x:c>
    </x:row>
    <x:row r="46" ht="22" customHeight="1">
      <x:c r="A46" s="8" t="d">
        <x:v>2001-04-30T00:00:00.000Z</x:v>
      </x:c>
      <x:c r="B46" s="8" t="d">
        <x:v>2001-04-02T00:00:00.000Z</x:v>
      </x:c>
      <x:c r="C46" s="2" t="str">
        <x:v>AMD</x:v>
      </x:c>
      <x:c r="D46" s="11" t="n">
        <x:f>40*'Summary'!$C$18</x:f>
        <x:v>40000</x:v>
      </x:c>
      <x:c r="E46" s="2" t="n">
        <x:v>499</x:v>
      </x:c>
      <x:c r="F46" s="2" t="n">
        <x:v>326</x:v>
      </x:c>
      <x:c r="G46" s="9" t="n">
        <x:f>F46/E46</x:f>
        <x:v>0.6533066132264529</x:v>
      </x:c>
      <x:c r="H46" s="11" t="n">
        <x:f>K46*'Summary'!$C$18</x:f>
        <x:v>42136.7628775197</x:v>
      </x:c>
      <x:c r="I46" s="11" t="n">
        <x:f>L46*'Summary'!$C$18</x:f>
        <x:v>41242.5709088537</x:v>
      </x:c>
      <x:c r="J46" s="11" t="n">
        <x:f>M46*'Summary'!$C$18</x:f>
        <x:v>0</x:v>
      </x:c>
      <x:c r="K46" s="12" t="n">
        <x:v>42.1367628775197</x:v>
      </x:c>
      <x:c r="L46" s="12" t="n">
        <x:v>41.24257090885369</x:v>
      </x:c>
      <x:c r="M46" s="12" t="n">
        <x:v>0</x:v>
      </x:c>
      <x:c r="N46" s="2" t="str">
        <x:v>2001-04</x:v>
      </x:c>
    </x:row>
    <x:row r="47" ht="22" customHeight="1">
      <x:c r="A47" s="8" t="d">
        <x:v>2001-05-31T00:00:00.000Z</x:v>
      </x:c>
      <x:c r="B47" s="8" t="d">
        <x:v>2001-05-01T00:00:00.000Z</x:v>
      </x:c>
      <x:c r="C47" s="2" t="str">
        <x:v>QLGC-201608</x:v>
      </x:c>
      <x:c r="D47" s="11" t="n">
        <x:f>41*'Summary'!$C$18</x:f>
        <x:v>41000</x:v>
      </x:c>
      <x:c r="E47" s="2" t="n">
        <x:v>499</x:v>
      </x:c>
      <x:c r="F47" s="2" t="n">
        <x:v>326</x:v>
      </x:c>
      <x:c r="G47" s="9" t="n">
        <x:f>F47/E47</x:f>
        <x:v>0.6533066132264529</x:v>
      </x:c>
      <x:c r="H47" s="11" t="n">
        <x:f>K47*'Summary'!$C$18</x:f>
        <x:v>42673.6482919349</x:v>
      </x:c>
      <x:c r="I47" s="11" t="n">
        <x:f>L47*'Summary'!$C$18</x:f>
        <x:v>42018.4171362405</x:v>
      </x:c>
      <x:c r="J47" s="11" t="n">
        <x:f>M47*'Summary'!$C$18</x:f>
        <x:v>0</x:v>
      </x:c>
      <x:c r="K47" s="12" t="n">
        <x:v>42.6736482919349</x:v>
      </x:c>
      <x:c r="L47" s="12" t="n">
        <x:v>42.0184171362405</x:v>
      </x:c>
      <x:c r="M47" s="12" t="n">
        <x:v>0</x:v>
      </x:c>
      <x:c r="N47" s="2" t="str">
        <x:v>2001-05</x:v>
      </x:c>
    </x:row>
    <x:row r="48" ht="22" customHeight="1">
      <x:c r="A48" s="8" t="d">
        <x:v>2001-06-29T00:00:00.000Z</x:v>
      </x:c>
      <x:c r="B48" s="8" t="d">
        <x:v>2001-06-01T00:00:00.000Z</x:v>
      </x:c>
      <x:c r="C48" s="2" t="str">
        <x:v>FTR</x:v>
      </x:c>
      <x:c r="D48" s="11" t="n">
        <x:f>42*'Summary'!$C$18</x:f>
        <x:v>42000</x:v>
      </x:c>
      <x:c r="E48" s="2" t="n">
        <x:v>499</x:v>
      </x:c>
      <x:c r="F48" s="2" t="n">
        <x:v>327</x:v>
      </x:c>
      <x:c r="G48" s="9" t="n">
        <x:f>F48/E48</x:f>
        <x:v>0.655310621242485</x:v>
      </x:c>
      <x:c r="H48" s="11" t="n">
        <x:f>K48*'Summary'!$C$18</x:f>
        <x:v>44678.6354956151</x:v>
      </x:c>
      <x:c r="I48" s="11" t="n">
        <x:f>L48*'Summary'!$C$18</x:f>
        <x:v>41991.3819728472</x:v>
      </x:c>
      <x:c r="J48" s="11" t="n">
        <x:f>M48*'Summary'!$C$18</x:f>
        <x:v>0</x:v>
      </x:c>
      <x:c r="K48" s="12" t="n">
        <x:v>44.6786354956151</x:v>
      </x:c>
      <x:c r="L48" s="12" t="n">
        <x:v>41.9913819728472</x:v>
      </x:c>
      <x:c r="M48" s="12" t="n">
        <x:v>0</x:v>
      </x:c>
      <x:c r="N48" s="2" t="str">
        <x:v>2001-06</x:v>
      </x:c>
    </x:row>
    <x:row r="49" ht="22" customHeight="1">
      <x:c r="A49" s="8" t="d">
        <x:v>2001-07-31T00:00:00.000Z</x:v>
      </x:c>
      <x:c r="B49" s="8" t="d">
        <x:v>2001-07-02T00:00:00.000Z</x:v>
      </x:c>
      <x:c r="C49" s="2" t="str">
        <x:v>CTXS</x:v>
      </x:c>
      <x:c r="D49" s="11" t="n">
        <x:f>43*'Summary'!$C$18</x:f>
        <x:v>43000</x:v>
      </x:c>
      <x:c r="E49" s="2" t="n">
        <x:v>499</x:v>
      </x:c>
      <x:c r="F49" s="2" t="n">
        <x:v>329</x:v>
      </x:c>
      <x:c r="G49" s="9" t="n">
        <x:f>F49/E49</x:f>
        <x:v>0.6593186372745491</x:v>
      </x:c>
      <x:c r="H49" s="11" t="n">
        <x:f>K49*'Summary'!$C$18</x:f>
        <x:v>42542.3777561681</x:v>
      </x:c>
      <x:c r="I49" s="11" t="n">
        <x:f>L49*'Summary'!$C$18</x:f>
        <x:v>42551.4401205713</x:v>
      </x:c>
      <x:c r="J49" s="11" t="n">
        <x:f>M49*'Summary'!$C$18</x:f>
        <x:v>0</x:v>
      </x:c>
      <x:c r="K49" s="12" t="n">
        <x:v>42.5423777561681</x:v>
      </x:c>
      <x:c r="L49" s="12" t="n">
        <x:v>42.5514401205713</x:v>
      </x:c>
      <x:c r="M49" s="12" t="n">
        <x:v>0</x:v>
      </x:c>
      <x:c r="N49" s="2" t="str">
        <x:v>2001-07</x:v>
      </x:c>
    </x:row>
    <x:row r="50" ht="22" customHeight="1">
      <x:c r="A50" s="8" t="d">
        <x:v>2001-08-31T00:00:00.000Z</x:v>
      </x:c>
      <x:c r="B50" s="8" t="d">
        <x:v>2001-08-01T00:00:00.000Z</x:v>
      </x:c>
      <x:c r="C50" s="2" t="str">
        <x:v>PCG</x:v>
      </x:c>
      <x:c r="D50" s="11" t="n">
        <x:f>44*'Summary'!$C$18</x:f>
        <x:v>44000</x:v>
      </x:c>
      <x:c r="E50" s="2" t="n">
        <x:v>499</x:v>
      </x:c>
      <x:c r="F50" s="2" t="n">
        <x:v>329</x:v>
      </x:c>
      <x:c r="G50" s="9" t="n">
        <x:f>F50/E50</x:f>
        <x:v>0.6593186372745491</x:v>
      </x:c>
      <x:c r="H50" s="11" t="n">
        <x:f>K50*'Summary'!$C$18</x:f>
        <x:v>40388.0083935315</x:v>
      </x:c>
      <x:c r="I50" s="11" t="n">
        <x:f>L50*'Summary'!$C$18</x:f>
        <x:v>40962.6433201594</x:v>
      </x:c>
      <x:c r="J50" s="11" t="n">
        <x:f>M50*'Summary'!$C$18</x:f>
        <x:v>0</x:v>
      </x:c>
      <x:c r="K50" s="12" t="n">
        <x:v>40.3880083935315</x:v>
      </x:c>
      <x:c r="L50" s="12" t="n">
        <x:v>40.962643320159394</x:v>
      </x:c>
      <x:c r="M50" s="12" t="n">
        <x:v>0</x:v>
      </x:c>
      <x:c r="N50" s="2" t="str">
        <x:v>2001-08</x:v>
      </x:c>
    </x:row>
    <x:row r="51" ht="22" customHeight="1">
      <x:c r="A51" s="8" t="d">
        <x:v>2001-09-28T00:00:00.000Z</x:v>
      </x:c>
      <x:c r="B51" s="8" t="d">
        <x:v>2001-09-04T00:00:00.000Z</x:v>
      </x:c>
      <x:c r="C51" s="2" t="str">
        <x:v>DDS</x:v>
      </x:c>
      <x:c r="D51" s="11" t="n">
        <x:f>45*'Summary'!$C$18</x:f>
        <x:v>45000</x:v>
      </x:c>
      <x:c r="E51" s="2" t="n">
        <x:v>499</x:v>
      </x:c>
      <x:c r="F51" s="2" t="n">
        <x:v>332</x:v>
      </x:c>
      <x:c r="G51" s="9" t="n">
        <x:f>F51/E51</x:f>
        <x:v>0.6653306613226453</x:v>
      </x:c>
      <x:c r="H51" s="11" t="n">
        <x:f>K51*'Summary'!$C$18</x:f>
        <x:v>33660.5472329025</x:v>
      </x:c>
      <x:c r="I51" s="11" t="n">
        <x:f>L51*'Summary'!$C$18</x:f>
        <x:v>38539.6345291006</x:v>
      </x:c>
      <x:c r="J51" s="11" t="n">
        <x:f>M51*'Summary'!$C$18</x:f>
        <x:v>0</x:v>
      </x:c>
      <x:c r="K51" s="12" t="n">
        <x:v>33.6605472329025</x:v>
      </x:c>
      <x:c r="L51" s="12" t="n">
        <x:v>38.5396345291006</x:v>
      </x:c>
      <x:c r="M51" s="12" t="n">
        <x:v>0</x:v>
      </x:c>
      <x:c r="N51" s="2" t="str">
        <x:v>2001-09</x:v>
      </x:c>
    </x:row>
    <x:row r="52" ht="22" customHeight="1">
      <x:c r="A52" s="8" t="d">
        <x:v>2001-10-31T00:00:00.000Z</x:v>
      </x:c>
      <x:c r="B52" s="8" t="d">
        <x:v>2001-10-01T00:00:00.000Z</x:v>
      </x:c>
      <x:c r="C52" s="2" t="str">
        <x:v>RTN</x:v>
      </x:c>
      <x:c r="D52" s="11" t="n">
        <x:f>46*'Summary'!$C$18</x:f>
        <x:v>46000</x:v>
      </x:c>
      <x:c r="E52" s="2" t="n">
        <x:v>499</x:v>
      </x:c>
      <x:c r="F52" s="2" t="n">
        <x:v>333</x:v>
      </x:c>
      <x:c r="G52" s="9" t="n">
        <x:f>F52/E52</x:f>
        <x:v>0.6673346693386774</x:v>
      </x:c>
      <x:c r="H52" s="11" t="n">
        <x:f>K52*'Summary'!$C$18</x:f>
        <x:v>36844.6489112863</x:v>
      </x:c>
      <x:c r="I52" s="11" t="n">
        <x:f>L52*'Summary'!$C$18</x:f>
        <x:v>40059.7781680013</x:v>
      </x:c>
      <x:c r="J52" s="11" t="n">
        <x:f>M52*'Summary'!$C$18</x:f>
        <x:v>0</x:v>
      </x:c>
      <x:c r="K52" s="12" t="n">
        <x:v>36.8446489112863</x:v>
      </x:c>
      <x:c r="L52" s="12" t="n">
        <x:v>40.0597781680013</x:v>
      </x:c>
      <x:c r="M52" s="12" t="n">
        <x:v>0</x:v>
      </x:c>
      <x:c r="N52" s="2" t="str">
        <x:v>2001-10</x:v>
      </x:c>
    </x:row>
    <x:row r="53" ht="22" customHeight="1">
      <x:c r="A53" s="8" t="d">
        <x:v>2001-11-30T00:00:00.000Z</x:v>
      </x:c>
      <x:c r="B53" s="8" t="d">
        <x:v>2001-11-01T00:00:00.000Z</x:v>
      </x:c>
      <x:c r="C53" s="2" t="str">
        <x:v>QLGC-201608</x:v>
      </x:c>
      <x:c r="D53" s="11" t="n">
        <x:f>47*'Summary'!$C$18</x:f>
        <x:v>47000</x:v>
      </x:c>
      <x:c r="E53" s="2" t="n">
        <x:v>499</x:v>
      </x:c>
      <x:c r="F53" s="2" t="n">
        <x:v>334</x:v>
      </x:c>
      <x:c r="G53" s="9" t="n">
        <x:f>F53/E53</x:f>
        <x:v>0.6693386773547094</x:v>
      </x:c>
      <x:c r="H53" s="11" t="n">
        <x:f>K53*'Summary'!$C$18</x:f>
        <x:v>42701.7530864503</x:v>
      </x:c>
      <x:c r="I53" s="11" t="n">
        <x:f>L53*'Summary'!$C$18</x:f>
        <x:v>44253.4195201273</x:v>
      </x:c>
      <x:c r="J53" s="11" t="n">
        <x:f>M53*'Summary'!$C$18</x:f>
        <x:v>0</x:v>
      </x:c>
      <x:c r="K53" s="12" t="n">
        <x:v>42.701753086450296</x:v>
      </x:c>
      <x:c r="L53" s="12" t="n">
        <x:v>44.2534195201273</x:v>
      </x:c>
      <x:c r="M53" s="12" t="n">
        <x:v>0</x:v>
      </x:c>
      <x:c r="N53" s="2" t="str">
        <x:v>2001-11</x:v>
      </x:c>
    </x:row>
    <x:row r="54" ht="22" customHeight="1">
      <x:c r="A54" s="8" t="d">
        <x:v>2001-12-31T00:00:00.000Z</x:v>
      </x:c>
      <x:c r="B54" s="8" t="d">
        <x:v>2001-12-03T00:00:00.000Z</x:v>
      </x:c>
      <x:c r="C54" s="2" t="str">
        <x:v>SAPE-201502</x:v>
      </x:c>
      <x:c r="D54" s="11" t="n">
        <x:f>48*'Summary'!$C$18</x:f>
        <x:v>48000</x:v>
      </x:c>
      <x:c r="E54" s="2" t="n">
        <x:v>499</x:v>
      </x:c>
      <x:c r="F54" s="2" t="n">
        <x:v>335</x:v>
      </x:c>
      <x:c r="G54" s="9" t="n">
        <x:f>F54/E54</x:f>
        <x:v>0.6713426853707415</x:v>
      </x:c>
      <x:c r="H54" s="11" t="n">
        <x:f>K54*'Summary'!$C$18</x:f>
        <x:v>45197.4699013881</x:v>
      </x:c>
      <x:c r="I54" s="11" t="n">
        <x:f>L54*'Summary'!$C$18</x:f>
        <x:v>45512.1509039109</x:v>
      </x:c>
      <x:c r="J54" s="11" t="n">
        <x:f>M54*'Summary'!$C$18</x:f>
        <x:v>0</x:v>
      </x:c>
      <x:c r="K54" s="12" t="n">
        <x:v>45.197469901388104</x:v>
      </x:c>
      <x:c r="L54" s="12" t="n">
        <x:v>45.5121509039109</x:v>
      </x:c>
      <x:c r="M54" s="12" t="n">
        <x:v>0</x:v>
      </x:c>
      <x:c r="N54" s="2" t="str">
        <x:v>2001-12</x:v>
      </x:c>
    </x:row>
    <x:row r="55" ht="22" customHeight="1">
      <x:c r="A55" s="8" t="d">
        <x:v>2002-01-31T00:00:00.000Z</x:v>
      </x:c>
      <x:c r="B55" s="8" t="d">
        <x:v>2002-01-02T00:00:00.000Z</x:v>
      </x:c>
      <x:c r="C55" s="2" t="str">
        <x:v>NTAP</x:v>
      </x:c>
      <x:c r="D55" s="11" t="n">
        <x:f>49*'Summary'!$C$18</x:f>
        <x:v>49000</x:v>
      </x:c>
      <x:c r="E55" s="2" t="n">
        <x:v>499</x:v>
      </x:c>
      <x:c r="F55" s="2" t="n">
        <x:v>337</x:v>
      </x:c>
      <x:c r="G55" s="9" t="n">
        <x:f>F55/E55</x:f>
        <x:v>0.6753507014028056</x:v>
      </x:c>
      <x:c r="H55" s="11" t="n">
        <x:f>K55*'Summary'!$C$18</x:f>
        <x:v>46900.7923159591</x:v>
      </x:c>
      <x:c r="I55" s="11" t="n">
        <x:f>L55*'Summary'!$C$18</x:f>
        <x:v>46049.4199150822</x:v>
      </x:c>
      <x:c r="J55" s="11" t="n">
        <x:f>M55*'Summary'!$C$18</x:f>
        <x:v>0</x:v>
      </x:c>
      <x:c r="K55" s="12" t="n">
        <x:v>46.9007923159591</x:v>
      </x:c>
      <x:c r="L55" s="12" t="n">
        <x:v>46.049419915082204</x:v>
      </x:c>
      <x:c r="M55" s="12" t="n">
        <x:v>0</x:v>
      </x:c>
      <x:c r="N55" s="2" t="str">
        <x:v>2002-01</x:v>
      </x:c>
    </x:row>
    <x:row r="56" ht="22" customHeight="1">
      <x:c r="A56" s="8" t="d">
        <x:v>2002-02-28T00:00:00.000Z</x:v>
      </x:c>
      <x:c r="B56" s="8" t="d">
        <x:v>2002-02-01T00:00:00.000Z</x:v>
      </x:c>
      <x:c r="C56" s="2" t="str">
        <x:v>BBWI</x:v>
      </x:c>
      <x:c r="D56" s="11" t="n">
        <x:f>50*'Summary'!$C$18</x:f>
        <x:v>50000</x:v>
      </x:c>
      <x:c r="E56" s="2" t="n">
        <x:v>499</x:v>
      </x:c>
      <x:c r="F56" s="2" t="n">
        <x:v>339</x:v>
      </x:c>
      <x:c r="G56" s="9" t="n">
        <x:f>F56/E56</x:f>
        <x:v>0.6793587174348698</x:v>
      </x:c>
      <x:c r="H56" s="11" t="n">
        <x:f>K56*'Summary'!$C$18</x:f>
        <x:v>46432.5394937578</x:v>
      </x:c>
      <x:c r="I56" s="11" t="n">
        <x:f>L56*'Summary'!$C$18</x:f>
        <x:v>46206.3221527815</x:v>
      </x:c>
      <x:c r="J56" s="11" t="n">
        <x:f>M56*'Summary'!$C$18</x:f>
        <x:v>0</x:v>
      </x:c>
      <x:c r="K56" s="12" t="n">
        <x:v>46.4325394937578</x:v>
      </x:c>
      <x:c r="L56" s="12" t="n">
        <x:v>46.206322152781496</x:v>
      </x:c>
      <x:c r="M56" s="12" t="n">
        <x:v>0</x:v>
      </x:c>
      <x:c r="N56" s="2" t="str">
        <x:v>2002-02</x:v>
      </x:c>
    </x:row>
    <x:row r="57" ht="22" customHeight="1">
      <x:c r="A57" s="8" t="d">
        <x:v>2002-03-28T00:00:00.000Z</x:v>
      </x:c>
      <x:c r="B57" s="8" t="d">
        <x:v>2002-03-01T00:00:00.000Z</x:v>
      </x:c>
      <x:c r="C57" s="2" t="str">
        <x:v>DDS</x:v>
      </x:c>
      <x:c r="D57" s="11" t="n">
        <x:f>51*'Summary'!$C$18</x:f>
        <x:v>51000</x:v>
      </x:c>
      <x:c r="E57" s="2" t="n">
        <x:v>499</x:v>
      </x:c>
      <x:c r="F57" s="2" t="n">
        <x:v>339</x:v>
      </x:c>
      <x:c r="G57" s="9" t="n">
        <x:f>F57/E57</x:f>
        <x:v>0.6793587174348698</x:v>
      </x:c>
      <x:c r="H57" s="11" t="n">
        <x:f>K57*'Summary'!$C$18</x:f>
        <x:v>51026.6093647772</x:v>
      </x:c>
      <x:c r="I57" s="11" t="n">
        <x:f>L57*'Summary'!$C$18</x:f>
        <x:v>48771.6416136669</x:v>
      </x:c>
      <x:c r="J57" s="11" t="n">
        <x:f>M57*'Summary'!$C$18</x:f>
        <x:v>0</x:v>
      </x:c>
      <x:c r="K57" s="12" t="n">
        <x:v>51.0266093647772</x:v>
      </x:c>
      <x:c r="L57" s="12" t="n">
        <x:v>48.7716416136669</x:v>
      </x:c>
      <x:c r="M57" s="12" t="n">
        <x:v>0</x:v>
      </x:c>
      <x:c r="N57" s="2" t="str">
        <x:v>2002-03</x:v>
      </x:c>
    </x:row>
    <x:row r="58" ht="22" customHeight="1">
      <x:c r="A58" s="8" t="d">
        <x:v>2002-04-30T00:00:00.000Z</x:v>
      </x:c>
      <x:c r="B58" s="8" t="d">
        <x:v>2002-04-01T00:00:00.000Z</x:v>
      </x:c>
      <x:c r="C58" s="2" t="str">
        <x:v>AES</x:v>
      </x:c>
      <x:c r="D58" s="11" t="n">
        <x:f>52*'Summary'!$C$18</x:f>
        <x:v>52000</x:v>
      </x:c>
      <x:c r="E58" s="2" t="n">
        <x:v>499</x:v>
      </x:c>
      <x:c r="F58" s="2" t="n">
        <x:v>339</x:v>
      </x:c>
      <x:c r="G58" s="9" t="n">
        <x:f>F58/E58</x:f>
        <x:v>0.6793587174348698</x:v>
      </x:c>
      <x:c r="H58" s="11" t="n">
        <x:f>K58*'Summary'!$C$18</x:f>
        <x:v>49907.2362204892</x:v>
      </x:c>
      <x:c r="I58" s="11" t="n">
        <x:f>L58*'Summary'!$C$18</x:f>
        <x:v>46879.5256208398</x:v>
      </x:c>
      <x:c r="J58" s="11" t="n">
        <x:f>M58*'Summary'!$C$18</x:f>
        <x:v>0</x:v>
      </x:c>
      <x:c r="K58" s="12" t="n">
        <x:v>49.907236220489196</x:v>
      </x:c>
      <x:c r="L58" s="12" t="n">
        <x:v>46.8795256208398</x:v>
      </x:c>
      <x:c r="M58" s="12" t="n">
        <x:v>0</x:v>
      </x:c>
      <x:c r="N58" s="2" t="str">
        <x:v>2002-04</x:v>
      </x:c>
    </x:row>
    <x:row r="59" ht="22" customHeight="1">
      <x:c r="A59" s="8" t="d">
        <x:v>2002-05-31T00:00:00.000Z</x:v>
      </x:c>
      <x:c r="B59" s="8" t="d">
        <x:v>2002-05-01T00:00:00.000Z</x:v>
      </x:c>
      <x:c r="C59" s="2" t="str">
        <x:v>AET-201811</x:v>
      </x:c>
      <x:c r="D59" s="11" t="n">
        <x:f>53*'Summary'!$C$18</x:f>
        <x:v>53000</x:v>
      </x:c>
      <x:c r="E59" s="2" t="n">
        <x:v>499</x:v>
      </x:c>
      <x:c r="F59" s="2" t="n">
        <x:v>339</x:v>
      </x:c>
      <x:c r="G59" s="9" t="n">
        <x:f>F59/E59</x:f>
        <x:v>0.6793587174348698</x:v>
      </x:c>
      <x:c r="H59" s="11" t="n">
        <x:f>K59*'Summary'!$C$18</x:f>
        <x:v>49951.8890642021</x:v>
      </x:c>
      <x:c r="I59" s="11" t="n">
        <x:f>L59*'Summary'!$C$18</x:f>
        <x:v>47594.4143329883</x:v>
      </x:c>
      <x:c r="J59" s="11" t="n">
        <x:f>M59*'Summary'!$C$18</x:f>
        <x:v>0</x:v>
      </x:c>
      <x:c r="K59" s="12" t="n">
        <x:v>49.9518890642021</x:v>
      </x:c>
      <x:c r="L59" s="12" t="n">
        <x:v>47.5944143329883</x:v>
      </x:c>
      <x:c r="M59" s="12" t="n">
        <x:v>0</x:v>
      </x:c>
      <x:c r="N59" s="2" t="str">
        <x:v>2002-05</x:v>
      </x:c>
    </x:row>
    <x:row r="60" ht="22" customHeight="1">
      <x:c r="A60" s="8" t="d">
        <x:v>2002-06-28T00:00:00.000Z</x:v>
      </x:c>
      <x:c r="B60" s="8" t="d">
        <x:v>2002-06-03T00:00:00.000Z</x:v>
      </x:c>
      <x:c r="C60" s="2" t="str">
        <x:v>DDS</x:v>
      </x:c>
      <x:c r="D60" s="11" t="n">
        <x:f>54*'Summary'!$C$18</x:f>
        <x:v>54000</x:v>
      </x:c>
      <x:c r="E60" s="2" t="n">
        <x:v>499</x:v>
      </x:c>
      <x:c r="F60" s="2" t="n">
        <x:v>340</x:v>
      </x:c>
      <x:c r="G60" s="9" t="n">
        <x:f>F60/E60</x:f>
        <x:v>0.6813627254509018</x:v>
      </x:c>
      <x:c r="H60" s="11" t="n">
        <x:f>K60*'Summary'!$C$18</x:f>
        <x:v>46660.7093773549</x:v>
      </x:c>
      <x:c r="I60" s="11" t="n">
        <x:f>L60*'Summary'!$C$18</x:f>
        <x:v>45008.9058372193</x:v>
      </x:c>
      <x:c r="J60" s="11" t="n">
        <x:f>M60*'Summary'!$C$18</x:f>
        <x:v>0</x:v>
      </x:c>
      <x:c r="K60" s="12" t="n">
        <x:v>46.6607093773549</x:v>
      </x:c>
      <x:c r="L60" s="12" t="n">
        <x:v>45.0089058372193</x:v>
      </x:c>
      <x:c r="M60" s="12" t="n">
        <x:v>0</x:v>
      </x:c>
      <x:c r="N60" s="2" t="str">
        <x:v>2002-06</x:v>
      </x:c>
    </x:row>
    <x:row r="61" ht="22" customHeight="1">
      <x:c r="A61" s="8" t="d">
        <x:v>2002-07-31T00:00:00.000Z</x:v>
      </x:c>
      <x:c r="B61" s="8" t="d">
        <x:v>2002-07-01T00:00:00.000Z</x:v>
      </x:c>
      <x:c r="C61" s="2" t="str">
        <x:v>WOR</x:v>
      </x:c>
      <x:c r="D61" s="11" t="n">
        <x:f>55*'Summary'!$C$18</x:f>
        <x:v>55000</x:v>
      </x:c>
      <x:c r="E61" s="2" t="n">
        <x:v>499</x:v>
      </x:c>
      <x:c r="F61" s="2" t="n">
        <x:v>341</x:v>
      </x:c>
      <x:c r="G61" s="9" t="n">
        <x:f>F61/E61</x:f>
        <x:v>0.6833667334669339</x:v>
      </x:c>
      <x:c r="H61" s="11" t="n">
        <x:f>K61*'Summary'!$C$18</x:f>
        <x:v>41647.180587602</x:v>
      </x:c>
      <x:c r="I61" s="11" t="n">
        <x:f>L61*'Summary'!$C$18</x:f>
        <x:v>42380.4552562692</x:v>
      </x:c>
      <x:c r="J61" s="11" t="n">
        <x:f>M61*'Summary'!$C$18</x:f>
        <x:v>0</x:v>
      </x:c>
      <x:c r="K61" s="12" t="n">
        <x:v>41.647180587602</x:v>
      </x:c>
      <x:c r="L61" s="12" t="n">
        <x:v>42.380455256269194</x:v>
      </x:c>
      <x:c r="M61" s="12" t="n">
        <x:v>0</x:v>
      </x:c>
      <x:c r="N61" s="2" t="str">
        <x:v>2002-07</x:v>
      </x:c>
    </x:row>
    <x:row r="62" ht="22" customHeight="1">
      <x:c r="A62" s="8" t="d">
        <x:v>2002-08-30T00:00:00.000Z</x:v>
      </x:c>
      <x:c r="B62" s="8" t="d">
        <x:v>2002-08-01T00:00:00.000Z</x:v>
      </x:c>
      <x:c r="C62" s="2" t="str">
        <x:v>HSY</x:v>
      </x:c>
      <x:c r="D62" s="11" t="n">
        <x:f>56*'Summary'!$C$18</x:f>
        <x:v>56000</x:v>
      </x:c>
      <x:c r="E62" s="2" t="n">
        <x:v>499</x:v>
      </x:c>
      <x:c r="F62" s="2" t="n">
        <x:v>348</x:v>
      </x:c>
      <x:c r="G62" s="9" t="n">
        <x:f>F62/E62</x:f>
        <x:v>0.6973947895791583</x:v>
      </x:c>
      <x:c r="H62" s="11" t="n">
        <x:f>K62*'Summary'!$C$18</x:f>
        <x:v>42829.9222770079</x:v>
      </x:c>
      <x:c r="I62" s="11" t="n">
        <x:f>L62*'Summary'!$C$18</x:f>
        <x:v>43678.5953255318</x:v>
      </x:c>
      <x:c r="J62" s="11" t="n">
        <x:f>M62*'Summary'!$C$18</x:f>
        <x:v>0</x:v>
      </x:c>
      <x:c r="K62" s="12" t="n">
        <x:v>42.8299222770079</x:v>
      </x:c>
      <x:c r="L62" s="12" t="n">
        <x:v>43.6785953255318</x:v>
      </x:c>
      <x:c r="M62" s="12" t="n">
        <x:v>0</x:v>
      </x:c>
      <x:c r="N62" s="2" t="str">
        <x:v>2002-08</x:v>
      </x:c>
    </x:row>
    <x:row r="63" ht="22" customHeight="1">
      <x:c r="A63" s="8" t="d">
        <x:v>2002-09-30T00:00:00.000Z</x:v>
      </x:c>
      <x:c r="B63" s="8" t="d">
        <x:v>2002-09-03T00:00:00.000Z</x:v>
      </x:c>
      <x:c r="C63" s="2" t="str">
        <x:v>MDR</x:v>
      </x:c>
      <x:c r="D63" s="11" t="n">
        <x:f>57*'Summary'!$C$18</x:f>
        <x:v>57000</x:v>
      </x:c>
      <x:c r="E63" s="2" t="n">
        <x:v>498</x:v>
      </x:c>
      <x:c r="F63" s="2" t="n">
        <x:v>348</x:v>
      </x:c>
      <x:c r="G63" s="9" t="n">
        <x:f>F63/E63</x:f>
        <x:v>0.6987951807228916</x:v>
      </x:c>
      <x:c r="H63" s="11" t="n">
        <x:f>K63*'Summary'!$C$18</x:f>
        <x:v>38947.8239088578</x:v>
      </x:c>
      <x:c r="I63" s="11" t="n">
        <x:f>L63*'Summary'!$C$18</x:f>
        <x:v>40004.2990352566</x:v>
      </x:c>
      <x:c r="J63" s="11" t="n">
        <x:f>M63*'Summary'!$C$18</x:f>
        <x:v>0</x:v>
      </x:c>
      <x:c r="K63" s="12" t="n">
        <x:v>38.9478239088578</x:v>
      </x:c>
      <x:c r="L63" s="12" t="n">
        <x:v>40.0042990352566</x:v>
      </x:c>
      <x:c r="M63" s="12" t="n">
        <x:v>0</x:v>
      </x:c>
      <x:c r="N63" s="2" t="str">
        <x:v>2002-09</x:v>
      </x:c>
    </x:row>
    <x:row r="64" ht="22" customHeight="1">
      <x:c r="A64" s="8" t="d">
        <x:v>2002-10-31T00:00:00.000Z</x:v>
      </x:c>
      <x:c r="B64" s="8" t="d">
        <x:v>2002-10-01T00:00:00.000Z</x:v>
      </x:c>
      <x:c r="C64" s="2" t="str">
        <x:v>FRX-201406</x:v>
      </x:c>
      <x:c r="D64" s="11" t="n">
        <x:f>58*'Summary'!$C$18</x:f>
        <x:v>58000</x:v>
      </x:c>
      <x:c r="E64" s="2" t="n">
        <x:v>498</x:v>
      </x:c>
      <x:c r="F64" s="2" t="n">
        <x:v>349</x:v>
      </x:c>
      <x:c r="G64" s="9" t="n">
        <x:f>F64/E64</x:f>
        <x:v>0.7008032128514057</x:v>
      </x:c>
      <x:c r="H64" s="11" t="n">
        <x:f>K64*'Summary'!$C$18</x:f>
        <x:v>42466.5468402934</x:v>
      </x:c>
      <x:c r="I64" s="11" t="n">
        <x:f>L64*'Summary'!$C$18</x:f>
        <x:v>44369.8873854341</x:v>
      </x:c>
      <x:c r="J64" s="11" t="n">
        <x:f>M64*'Summary'!$C$18</x:f>
        <x:v>0</x:v>
      </x:c>
      <x:c r="K64" s="12" t="n">
        <x:v>42.4665468402934</x:v>
      </x:c>
      <x:c r="L64" s="12" t="n">
        <x:v>44.3698873854341</x:v>
      </x:c>
      <x:c r="M64" s="12" t="n">
        <x:v>0</x:v>
      </x:c>
      <x:c r="N64" s="2" t="str">
        <x:v>2002-10</x:v>
      </x:c>
    </x:row>
    <x:row r="65" ht="22" customHeight="1">
      <x:c r="A65" s="8" t="d">
        <x:v>2002-11-29T00:00:00.000Z</x:v>
      </x:c>
      <x:c r="B65" s="8" t="d">
        <x:v>2002-11-01T00:00:00.000Z</x:v>
      </x:c>
      <x:c r="C65" s="2" t="str">
        <x:v>MWW-201610</x:v>
      </x:c>
      <x:c r="D65" s="11" t="n">
        <x:f>59*'Summary'!$C$18</x:f>
        <x:v>59000</x:v>
      </x:c>
      <x:c r="E65" s="2" t="n">
        <x:v>498</x:v>
      </x:c>
      <x:c r="F65" s="2" t="n">
        <x:v>349</x:v>
      </x:c>
      <x:c r="G65" s="9" t="n">
        <x:f>F65/E65</x:f>
        <x:v>0.7008032128514057</x:v>
      </x:c>
      <x:c r="H65" s="11" t="n">
        <x:f>K65*'Summary'!$C$18</x:f>
        <x:v>46103.3028803887</x:v>
      </x:c>
      <x:c r="I65" s="11" t="n">
        <x:f>L65*'Summary'!$C$18</x:f>
        <x:v>48170.3926977939</x:v>
      </x:c>
      <x:c r="J65" s="11" t="n">
        <x:f>M65*'Summary'!$C$18</x:f>
        <x:v>0</x:v>
      </x:c>
      <x:c r="K65" s="12" t="n">
        <x:v>46.103302880388696</x:v>
      </x:c>
      <x:c r="L65" s="12" t="n">
        <x:v>48.1703926977939</x:v>
      </x:c>
      <x:c r="M65" s="12" t="n">
        <x:v>0</x:v>
      </x:c>
      <x:c r="N65" s="2" t="str">
        <x:v>2002-11</x:v>
      </x:c>
    </x:row>
    <x:row r="66" ht="22" customHeight="1">
      <x:c r="A66" s="8" t="d">
        <x:v>2002-12-31T00:00:00.000Z</x:v>
      </x:c>
      <x:c r="B66" s="8" t="d">
        <x:v>2002-12-02T00:00:00.000Z</x:v>
      </x:c>
      <x:c r="C66" s="2" t="str">
        <x:v>SEE</x:v>
      </x:c>
      <x:c r="D66" s="11" t="n">
        <x:f>60*'Summary'!$C$18</x:f>
        <x:v>60000</x:v>
      </x:c>
      <x:c r="E66" s="2" t="n">
        <x:v>498</x:v>
      </x:c>
      <x:c r="F66" s="2" t="n">
        <x:v>348</x:v>
      </x:c>
      <x:c r="G66" s="9" t="n">
        <x:f>F66/E66</x:f>
        <x:v>0.6987951807228916</x:v>
      </x:c>
      <x:c r="H66" s="11" t="n">
        <x:f>K66*'Summary'!$C$18</x:f>
        <x:v>44181.4047194781</x:v>
      </x:c>
      <x:c r="I66" s="11" t="n">
        <x:f>L66*'Summary'!$C$18</x:f>
        <x:v>46374.1105913719</x:v>
      </x:c>
      <x:c r="J66" s="11" t="n">
        <x:f>M66*'Summary'!$C$18</x:f>
        <x:v>0</x:v>
      </x:c>
      <x:c r="K66" s="12" t="n">
        <x:v>44.1814047194781</x:v>
      </x:c>
      <x:c r="L66" s="12" t="n">
        <x:v>46.3741105913719</x:v>
      </x:c>
      <x:c r="M66" s="12" t="n">
        <x:v>0</x:v>
      </x:c>
      <x:c r="N66" s="2" t="str">
        <x:v>2002-12</x:v>
      </x:c>
    </x:row>
    <x:row r="67" ht="22" customHeight="1">
      <x:c r="A67" s="8" t="d">
        <x:v>2003-01-31T00:00:00.000Z</x:v>
      </x:c>
      <x:c r="B67" s="8" t="d">
        <x:v>2003-01-02T00:00:00.000Z</x:v>
      </x:c>
      <x:c r="C67" s="2" t="str">
        <x:v>AES</x:v>
      </x:c>
      <x:c r="D67" s="11" t="n">
        <x:f>61*'Summary'!$C$18</x:f>
        <x:v>61000</x:v>
      </x:c>
      <x:c r="E67" s="2" t="n">
        <x:v>498</x:v>
      </x:c>
      <x:c r="F67" s="2" t="n">
        <x:v>349</x:v>
      </x:c>
      <x:c r="G67" s="9" t="n">
        <x:f>F67/E67</x:f>
        <x:v>0.7008032128514057</x:v>
      </x:c>
      <x:c r="H67" s="11" t="n">
        <x:f>K67*'Summary'!$C$18</x:f>
        <x:v>43835.8465836605</x:v>
      </x:c>
      <x:c r="I67" s="11" t="n">
        <x:f>L67*'Summary'!$C$18</x:f>
        <x:v>46202.1439447252</x:v>
      </x:c>
      <x:c r="J67" s="11" t="n">
        <x:f>M67*'Summary'!$C$18</x:f>
        <x:v>0</x:v>
      </x:c>
      <x:c r="K67" s="12" t="n">
        <x:v>43.835846583660505</x:v>
      </x:c>
      <x:c r="L67" s="12" t="n">
        <x:v>46.2021439447252</x:v>
      </x:c>
      <x:c r="M67" s="12" t="n">
        <x:v>0</x:v>
      </x:c>
      <x:c r="N67" s="2" t="str">
        <x:v>2003-01</x:v>
      </x:c>
    </x:row>
    <x:row r="68" ht="22" customHeight="1">
      <x:c r="A68" s="8" t="d">
        <x:v>2003-02-28T00:00:00.000Z</x:v>
      </x:c>
      <x:c r="B68" s="8" t="d">
        <x:v>2003-02-03T00:00:00.000Z</x:v>
      </x:c>
      <x:c r="C68" s="2" t="str">
        <x:v>EMC-201609</x:v>
      </x:c>
      <x:c r="D68" s="11" t="n">
        <x:f>62*'Summary'!$C$18</x:f>
        <x:v>62000</x:v>
      </x:c>
      <x:c r="E68" s="2" t="n">
        <x:v>498</x:v>
      </x:c>
      <x:c r="F68" s="2" t="n">
        <x:v>350</x:v>
      </x:c>
      <x:c r="G68" s="9" t="n">
        <x:f>F68/E68</x:f>
        <x:v>0.7028112449799196</x:v>
      </x:c>
      <x:c r="H68" s="11" t="n">
        <x:f>K68*'Summary'!$C$18</x:f>
        <x:v>44170.0875303407</x:v>
      </x:c>
      <x:c r="I68" s="11" t="n">
        <x:f>L68*'Summary'!$C$18</x:f>
        <x:v>46564.9936836929</x:v>
      </x:c>
      <x:c r="J68" s="11" t="n">
        <x:f>M68*'Summary'!$C$18</x:f>
        <x:v>0</x:v>
      </x:c>
      <x:c r="K68" s="12" t="n">
        <x:v>44.1700875303407</x:v>
      </x:c>
      <x:c r="L68" s="12" t="n">
        <x:v>46.5649936836929</x:v>
      </x:c>
      <x:c r="M68" s="12" t="n">
        <x:v>0</x:v>
      </x:c>
      <x:c r="N68" s="2" t="str">
        <x:v>2003-02</x:v>
      </x:c>
    </x:row>
    <x:row r="69" ht="22" customHeight="1">
      <x:c r="A69" s="8" t="d">
        <x:v>2003-03-31T00:00:00.000Z</x:v>
      </x:c>
      <x:c r="B69" s="8" t="d">
        <x:v>2003-03-03T00:00:00.000Z</x:v>
      </x:c>
      <x:c r="C69" s="2" t="str">
        <x:v>NVDA</x:v>
      </x:c>
      <x:c r="D69" s="11" t="n">
        <x:f>63*'Summary'!$C$18</x:f>
        <x:v>63000</x:v>
      </x:c>
      <x:c r="E69" s="2" t="n">
        <x:v>498</x:v>
      </x:c>
      <x:c r="F69" s="2" t="n">
        <x:v>350</x:v>
      </x:c>
      <x:c r="G69" s="9" t="n">
        <x:f>F69/E69</x:f>
        <x:v>0.7028112449799196</x:v>
      </x:c>
      <x:c r="H69" s="11" t="n">
        <x:f>K69*'Summary'!$C$18</x:f>
        <x:v>45446.1703914562</x:v>
      </x:c>
      <x:c r="I69" s="11" t="n">
        <x:f>L69*'Summary'!$C$18</x:f>
        <x:v>47662.5447947767</x:v>
      </x:c>
      <x:c r="J69" s="11" t="n">
        <x:f>M69*'Summary'!$C$18</x:f>
        <x:v>0</x:v>
      </x:c>
      <x:c r="K69" s="12" t="n">
        <x:v>45.4461703914562</x:v>
      </x:c>
      <x:c r="L69" s="12" t="n">
        <x:v>47.6625447947767</x:v>
      </x:c>
      <x:c r="M69" s="12" t="n">
        <x:v>0</x:v>
      </x:c>
      <x:c r="N69" s="2" t="str">
        <x:v>2003-03</x:v>
      </x:c>
    </x:row>
    <x:row r="70" ht="22" customHeight="1">
      <x:c r="A70" s="8" t="d">
        <x:v>2003-04-30T00:00:00.000Z</x:v>
      </x:c>
      <x:c r="B70" s="8" t="d">
        <x:v>2003-04-01T00:00:00.000Z</x:v>
      </x:c>
      <x:c r="C70" s="2" t="str">
        <x:v>CNP</x:v>
      </x:c>
      <x:c r="D70" s="11" t="n">
        <x:f>64*'Summary'!$C$18</x:f>
        <x:v>64000</x:v>
      </x:c>
      <x:c r="E70" s="2" t="n">
        <x:v>498</x:v>
      </x:c>
      <x:c r="F70" s="2" t="n">
        <x:v>351</x:v>
      </x:c>
      <x:c r="G70" s="9" t="n">
        <x:f>F70/E70</x:f>
        <x:v>0.7048192771084337</x:v>
      </x:c>
      <x:c r="H70" s="11" t="n">
        <x:f>K70*'Summary'!$C$18</x:f>
        <x:v>51817.0600783965</x:v>
      </x:c>
      <x:c r="I70" s="11" t="n">
        <x:f>L70*'Summary'!$C$18</x:f>
        <x:v>52773.4828639687</x:v>
      </x:c>
      <x:c r="J70" s="11" t="n">
        <x:f>M70*'Summary'!$C$18</x:f>
        <x:v>0</x:v>
      </x:c>
      <x:c r="K70" s="12" t="n">
        <x:v>51.8170600783965</x:v>
      </x:c>
      <x:c r="L70" s="12" t="n">
        <x:v>52.773482863968695</x:v>
      </x:c>
      <x:c r="M70" s="12" t="n">
        <x:v>0</x:v>
      </x:c>
      <x:c r="N70" s="2" t="str">
        <x:v>2003-04</x:v>
      </x:c>
    </x:row>
    <x:row r="71" ht="22" customHeight="1">
      <x:c r="A71" s="8" t="d">
        <x:v>2003-05-30T00:00:00.000Z</x:v>
      </x:c>
      <x:c r="B71" s="8" t="d">
        <x:v>2003-05-01T00:00:00.000Z</x:v>
      </x:c>
      <x:c r="C71" s="2" t="str">
        <x:v>AES</x:v>
      </x:c>
      <x:c r="D71" s="11" t="n">
        <x:f>65*'Summary'!$C$18</x:f>
        <x:v>65000</x:v>
      </x:c>
      <x:c r="E71" s="2" t="n">
        <x:v>498</x:v>
      </x:c>
      <x:c r="F71" s="2" t="n">
        <x:v>352</x:v>
      </x:c>
      <x:c r="G71" s="9" t="n">
        <x:f>F71/E71</x:f>
        <x:v>0.7068273092369478</x:v>
      </x:c>
      <x:c r="H71" s="11" t="n">
        <x:f>K71*'Summary'!$C$18</x:f>
        <x:v>60809.9527611954</x:v>
      </x:c>
      <x:c r="I71" s="11" t="n">
        <x:f>L71*'Summary'!$C$18</x:f>
        <x:v>56722.1004288272</x:v>
      </x:c>
      <x:c r="J71" s="11" t="n">
        <x:f>M71*'Summary'!$C$18</x:f>
        <x:v>0</x:v>
      </x:c>
      <x:c r="K71" s="12" t="n">
        <x:v>60.809952761195404</x:v>
      </x:c>
      <x:c r="L71" s="12" t="n">
        <x:v>56.722100428827204</x:v>
      </x:c>
      <x:c r="M71" s="12" t="n">
        <x:v>0</x:v>
      </x:c>
      <x:c r="N71" s="2" t="str">
        <x:v>2003-05</x:v>
      </x:c>
    </x:row>
    <x:row r="72" ht="22" customHeight="1">
      <x:c r="A72" s="8" t="d">
        <x:v>2003-06-30T00:00:00.000Z</x:v>
      </x:c>
      <x:c r="B72" s="8" t="d">
        <x:v>2003-06-02T00:00:00.000Z</x:v>
      </x:c>
      <x:c r="C72" s="2" t="str">
        <x:v>MDR</x:v>
      </x:c>
      <x:c r="D72" s="11" t="n">
        <x:f>66*'Summary'!$C$18</x:f>
        <x:v>66000</x:v>
      </x:c>
      <x:c r="E72" s="2" t="n">
        <x:v>498</x:v>
      </x:c>
      <x:c r="F72" s="2" t="n">
        <x:v>352</x:v>
      </x:c>
      <x:c r="G72" s="9" t="n">
        <x:f>F72/E72</x:f>
        <x:v>0.7068273092369478</x:v>
      </x:c>
      <x:c r="H72" s="11" t="n">
        <x:f>K72*'Summary'!$C$18</x:f>
        <x:v>62287.3831439679</x:v>
      </x:c>
      <x:c r="I72" s="11" t="n">
        <x:f>L72*'Summary'!$C$18</x:f>
        <x:v>58330.9197996626</x:v>
      </x:c>
      <x:c r="J72" s="11" t="n">
        <x:f>M72*'Summary'!$C$18</x:f>
        <x:v>0</x:v>
      </x:c>
      <x:c r="K72" s="12" t="n">
        <x:v>62.2873831439679</x:v>
      </x:c>
      <x:c r="L72" s="12" t="n">
        <x:v>58.3309197996626</x:v>
      </x:c>
      <x:c r="M72" s="12" t="n">
        <x:v>0</x:v>
      </x:c>
      <x:c r="N72" s="2" t="str">
        <x:v>2003-06</x:v>
      </x:c>
    </x:row>
    <x:row r="73" ht="22" customHeight="1">
      <x:c r="A73" s="8" t="d">
        <x:v>2003-07-31T00:00:00.000Z</x:v>
      </x:c>
      <x:c r="B73" s="8" t="d">
        <x:v>2003-07-01T00:00:00.000Z</x:v>
      </x:c>
      <x:c r="C73" s="2" t="str">
        <x:v>PCG</x:v>
      </x:c>
      <x:c r="D73" s="11" t="n">
        <x:f>67*'Summary'!$C$18</x:f>
        <x:v>67000</x:v>
      </x:c>
      <x:c r="E73" s="2" t="n">
        <x:v>498</x:v>
      </x:c>
      <x:c r="F73" s="2" t="n">
        <x:v>353</x:v>
      </x:c>
      <x:c r="G73" s="9" t="n">
        <x:f>F73/E73</x:f>
        <x:v>0.7088353413654619</x:v>
      </x:c>
      <x:c r="H73" s="11" t="n">
        <x:f>K73*'Summary'!$C$18</x:f>
        <x:v>64667.490927486695</x:v>
      </x:c>
      <x:c r="I73" s="11" t="n">
        <x:f>L73*'Summary'!$C$18</x:f>
        <x:v>60404.4720652349</x:v>
      </x:c>
      <x:c r="J73" s="11" t="n">
        <x:f>M73*'Summary'!$C$18</x:f>
        <x:v>0</x:v>
      </x:c>
      <x:c r="K73" s="12" t="n">
        <x:v>64.6674909274867</x:v>
      </x:c>
      <x:c r="L73" s="12" t="n">
        <x:v>60.4044720652349</x:v>
      </x:c>
      <x:c r="M73" s="12" t="n">
        <x:v>0</x:v>
      </x:c>
      <x:c r="N73" s="2" t="str">
        <x:v>2003-07</x:v>
      </x:c>
    </x:row>
    <x:row r="74" ht="22" customHeight="1">
      <x:c r="A74" s="8" t="d">
        <x:v>2003-08-29T00:00:00.000Z</x:v>
      </x:c>
      <x:c r="B74" s="8" t="d">
        <x:v>2003-08-01T00:00:00.000Z</x:v>
      </x:c>
      <x:c r="C74" s="2" t="str">
        <x:v>MWW-201610</x:v>
      </x:c>
      <x:c r="D74" s="11" t="n">
        <x:f>68*'Summary'!$C$18</x:f>
        <x:v>68000</x:v>
      </x:c>
      <x:c r="E74" s="2" t="n">
        <x:v>498</x:v>
      </x:c>
      <x:c r="F74" s="2" t="n">
        <x:v>353</x:v>
      </x:c>
      <x:c r="G74" s="9" t="n">
        <x:f>F74/E74</x:f>
        <x:v>0.7088353413654619</x:v>
      </x:c>
      <x:c r="H74" s="11" t="n">
        <x:f>K74*'Summary'!$C$18</x:f>
        <x:v>68509.2865275501</x:v>
      </x:c>
      <x:c r="I74" s="11" t="n">
        <x:f>L74*'Summary'!$C$18</x:f>
        <x:v>62673.0492815563</x:v>
      </x:c>
      <x:c r="J74" s="11" t="n">
        <x:f>M74*'Summary'!$C$18</x:f>
        <x:v>0</x:v>
      </x:c>
      <x:c r="K74" s="12" t="n">
        <x:v>68.50928652755009</x:v>
      </x:c>
      <x:c r="L74" s="12" t="n">
        <x:v>62.673049281556295</x:v>
      </x:c>
      <x:c r="M74" s="12" t="n">
        <x:v>0</x:v>
      </x:c>
      <x:c r="N74" s="2" t="str">
        <x:v>2003-08</x:v>
      </x:c>
    </x:row>
    <x:row r="75" ht="22" customHeight="1">
      <x:c r="A75" s="8" t="d">
        <x:v>2003-09-30T00:00:00.000Z</x:v>
      </x:c>
      <x:c r="B75" s="8" t="d">
        <x:v>2003-09-02T00:00:00.000Z</x:v>
      </x:c>
      <x:c r="C75" s="2" t="str">
        <x:v>AMD</x:v>
      </x:c>
      <x:c r="D75" s="11" t="n">
        <x:f>69*'Summary'!$C$18</x:f>
        <x:v>69000</x:v>
      </x:c>
      <x:c r="E75" s="2" t="n">
        <x:v>498</x:v>
      </x:c>
      <x:c r="F75" s="2" t="n">
        <x:v>352</x:v>
      </x:c>
      <x:c r="G75" s="9" t="n">
        <x:f>F75/E75</x:f>
        <x:v>0.7068273092369478</x:v>
      </x:c>
      <x:c r="H75" s="11" t="n">
        <x:f>K75*'Summary'!$C$18</x:f>
        <x:v>69124.5933359326</x:v>
      </x:c>
      <x:c r="I75" s="11" t="n">
        <x:f>L75*'Summary'!$C$18</x:f>
        <x:v>62976.6749674371</x:v>
      </x:c>
      <x:c r="J75" s="11" t="n">
        <x:f>M75*'Summary'!$C$18</x:f>
        <x:v>0</x:v>
      </x:c>
      <x:c r="K75" s="12" t="n">
        <x:v>69.1245933359326</x:v>
      </x:c>
      <x:c r="L75" s="12" t="n">
        <x:v>62.976674967437106</x:v>
      </x:c>
      <x:c r="M75" s="12" t="n">
        <x:v>0</x:v>
      </x:c>
      <x:c r="N75" s="2" t="str">
        <x:v>2003-09</x:v>
      </x:c>
    </x:row>
    <x:row r="76" ht="22" customHeight="1">
      <x:c r="A76" s="8" t="d">
        <x:v>2003-10-31T00:00:00.000Z</x:v>
      </x:c>
      <x:c r="B76" s="8" t="d">
        <x:v>2003-10-01T00:00:00.000Z</x:v>
      </x:c>
      <x:c r="C76" s="2" t="str">
        <x:v>RAI-201707</x:v>
      </x:c>
      <x:c r="D76" s="11" t="n">
        <x:f>70*'Summary'!$C$18</x:f>
        <x:v>70000</x:v>
      </x:c>
      <x:c r="E76" s="2" t="n">
        <x:v>498</x:v>
      </x:c>
      <x:c r="F76" s="2" t="n">
        <x:v>353</x:v>
      </x:c>
      <x:c r="G76" s="9" t="n">
        <x:f>F76/E76</x:f>
        <x:v>0.7088353413654619</x:v>
      </x:c>
      <x:c r="H76" s="11" t="n">
        <x:f>K76*'Summary'!$C$18</x:f>
        <x:v>78057.7715778148</x:v>
      </x:c>
      <x:c r="I76" s="11" t="n">
        <x:f>L76*'Summary'!$C$18</x:f>
        <x:v>67398.0953991716</x:v>
      </x:c>
      <x:c r="J76" s="11" t="n">
        <x:f>M76*'Summary'!$C$18</x:f>
        <x:v>0</x:v>
      </x:c>
      <x:c r="K76" s="12" t="n">
        <x:v>78.0577715778148</x:v>
      </x:c>
      <x:c r="L76" s="12" t="n">
        <x:v>67.3980953991716</x:v>
      </x:c>
      <x:c r="M76" s="12" t="n">
        <x:v>0</x:v>
      </x:c>
      <x:c r="N76" s="2" t="str">
        <x:v>2003-10</x:v>
      </x:c>
    </x:row>
    <x:row r="77" ht="22" customHeight="1">
      <x:c r="A77" s="8" t="d">
        <x:v>2003-11-28T00:00:00.000Z</x:v>
      </x:c>
      <x:c r="B77" s="8" t="d">
        <x:v>2003-11-03T00:00:00.000Z</x:v>
      </x:c>
      <x:c r="C77" s="2" t="str">
        <x:v>LPX</x:v>
      </x:c>
      <x:c r="D77" s="11" t="n">
        <x:f>71*'Summary'!$C$18</x:f>
        <x:v>71000</x:v>
      </x:c>
      <x:c r="E77" s="2" t="n">
        <x:v>498</x:v>
      </x:c>
      <x:c r="F77" s="2" t="n">
        <x:v>353</x:v>
      </x:c>
      <x:c r="G77" s="9" t="n">
        <x:f>F77/E77</x:f>
        <x:v>0.7088353413654619</x:v>
      </x:c>
      <x:c r="H77" s="11" t="n">
        <x:f>K77*'Summary'!$C$18</x:f>
        <x:v>81291.3075288284</x:v>
      </x:c>
      <x:c r="I77" s="11" t="n">
        <x:f>L77*'Summary'!$C$18</x:f>
        <x:v>69140.7773966878</x:v>
      </x:c>
      <x:c r="J77" s="11" t="n">
        <x:f>M77*'Summary'!$C$18</x:f>
        <x:v>0</x:v>
      </x:c>
      <x:c r="K77" s="12" t="n">
        <x:v>81.2913075288284</x:v>
      </x:c>
      <x:c r="L77" s="12" t="n">
        <x:v>69.1407773966878</x:v>
      </x:c>
      <x:c r="M77" s="12" t="n">
        <x:v>0</x:v>
      </x:c>
      <x:c r="N77" s="2" t="str">
        <x:v>2003-11</x:v>
      </x:c>
    </x:row>
    <x:row r="78" ht="22" customHeight="1">
      <x:c r="A78" s="8" t="d">
        <x:v>2003-12-31T00:00:00.000Z</x:v>
      </x:c>
      <x:c r="B78" s="8" t="d">
        <x:v>2003-12-01T00:00:00.000Z</x:v>
      </x:c>
      <x:c r="C78" s="2" t="str">
        <x:v>ALTR-201512</x:v>
      </x:c>
      <x:c r="D78" s="11" t="n">
        <x:f>72*'Summary'!$C$18</x:f>
        <x:v>72000</x:v>
      </x:c>
      <x:c r="E78" s="2" t="n">
        <x:v>498</x:v>
      </x:c>
      <x:c r="F78" s="2" t="n">
        <x:v>354</x:v>
      </x:c>
      <x:c r="G78" s="9" t="n">
        <x:f>F78/E78</x:f>
        <x:v>0.7108433734939759</x:v>
      </x:c>
      <x:c r="H78" s="11" t="n">
        <x:f>K78*'Summary'!$C$18</x:f>
        <x:v>85245.2923696939</x:v>
      </x:c>
      <x:c r="I78" s="11" t="n">
        <x:f>L78*'Summary'!$C$18</x:f>
        <x:v>73665.83341396</x:v>
      </x:c>
      <x:c r="J78" s="11" t="n">
        <x:f>M78*'Summary'!$C$18</x:f>
        <x:v>0</x:v>
      </x:c>
      <x:c r="K78" s="12" t="n">
        <x:v>85.2452923696939</x:v>
      </x:c>
      <x:c r="L78" s="12" t="n">
        <x:v>73.66583341396</x:v>
      </x:c>
      <x:c r="M78" s="12" t="n">
        <x:v>0</x:v>
      </x:c>
      <x:c r="N78" s="2" t="str">
        <x:v>2003-12</x:v>
      </x:c>
    </x:row>
    <x:row r="79" ht="22" customHeight="1">
      <x:c r="A79" s="8" t="d">
        <x:v>2004-01-30T00:00:00.000Z</x:v>
      </x:c>
      <x:c r="B79" s="8" t="d">
        <x:v>2004-01-02T00:00:00.000Z</x:v>
      </x:c>
      <x:c r="C79" s="2" t="str">
        <x:v>ATI</x:v>
      </x:c>
      <x:c r="D79" s="11" t="n">
        <x:f>73*'Summary'!$C$18</x:f>
        <x:v>73000</x:v>
      </x:c>
      <x:c r="E79" s="2" t="n">
        <x:v>498</x:v>
      </x:c>
      <x:c r="F79" s="2" t="n">
        <x:v>354</x:v>
      </x:c>
      <x:c r="G79" s="9" t="n">
        <x:f>F79/E79</x:f>
        <x:v>0.7108433734939759</x:v>
      </x:c>
      <x:c r="H79" s="11" t="n">
        <x:f>K79*'Summary'!$C$18</x:f>
        <x:v>87084.5423667</x:v>
      </x:c>
      <x:c r="I79" s="11" t="n">
        <x:f>L79*'Summary'!$C$18</x:f>
        <x:v>76137.7781924289</x:v>
      </x:c>
      <x:c r="J79" s="11" t="n">
        <x:f>M79*'Summary'!$C$18</x:f>
        <x:v>0</x:v>
      </x:c>
      <x:c r="K79" s="12" t="n">
        <x:v>87.0845423667</x:v>
      </x:c>
      <x:c r="L79" s="12" t="n">
        <x:v>76.1377781924289</x:v>
      </x:c>
      <x:c r="M79" s="12" t="n">
        <x:v>0</x:v>
      </x:c>
      <x:c r="N79" s="2" t="str">
        <x:v>2004-01</x:v>
      </x:c>
    </x:row>
    <x:row r="80" ht="22" customHeight="1">
      <x:c r="A80" s="8" t="d">
        <x:v>2004-02-27T00:00:00.000Z</x:v>
      </x:c>
      <x:c r="B80" s="8" t="d">
        <x:v>2004-02-02T00:00:00.000Z</x:v>
      </x:c>
      <x:c r="C80" s="2" t="str">
        <x:v>VIAV</x:v>
      </x:c>
      <x:c r="D80" s="11" t="n">
        <x:f>74*'Summary'!$C$18</x:f>
        <x:v>74000</x:v>
      </x:c>
      <x:c r="E80" s="2" t="n">
        <x:v>498</x:v>
      </x:c>
      <x:c r="F80" s="2" t="n">
        <x:v>354</x:v>
      </x:c>
      <x:c r="G80" s="9" t="n">
        <x:f>F80/E80</x:f>
        <x:v>0.7108433734939759</x:v>
      </x:c>
      <x:c r="H80" s="11" t="n">
        <x:f>K80*'Summary'!$C$18</x:f>
        <x:v>89744.778476322</x:v>
      </x:c>
      <x:c r="I80" s="11" t="n">
        <x:f>L80*'Summary'!$C$18</x:f>
        <x:v>78182.6240631196</x:v>
      </x:c>
      <x:c r="J80" s="11" t="n">
        <x:f>M80*'Summary'!$C$18</x:f>
        <x:v>0</x:v>
      </x:c>
      <x:c r="K80" s="12" t="n">
        <x:v>89.744778476322</x:v>
      </x:c>
      <x:c r="L80" s="12" t="n">
        <x:v>78.1826240631196</x:v>
      </x:c>
      <x:c r="M80" s="12" t="n">
        <x:v>0</x:v>
      </x:c>
      <x:c r="N80" s="2" t="str">
        <x:v>2004-02</x:v>
      </x:c>
    </x:row>
    <x:row r="81" ht="22" customHeight="1">
      <x:c r="A81" s="8" t="d">
        <x:v>2004-03-31T00:00:00.000Z</x:v>
      </x:c>
      <x:c r="B81" s="8" t="d">
        <x:v>2004-03-01T00:00:00.000Z</x:v>
      </x:c>
      <x:c r="C81" s="2" t="str">
        <x:v>ATI</x:v>
      </x:c>
      <x:c r="D81" s="11" t="n">
        <x:f>75*'Summary'!$C$18</x:f>
        <x:v>75000</x:v>
      </x:c>
      <x:c r="E81" s="2" t="n">
        <x:v>498</x:v>
      </x:c>
      <x:c r="F81" s="2" t="n">
        <x:v>355</x:v>
      </x:c>
      <x:c r="G81" s="9" t="n">
        <x:f>F81/E81</x:f>
        <x:v>0.7128514056224899</x:v>
      </x:c>
      <x:c r="H81" s="11" t="n">
        <x:f>K81*'Summary'!$C$18</x:f>
        <x:v>90839.7071903518</x:v>
      </x:c>
      <x:c r="I81" s="11" t="n">
        <x:f>L81*'Summary'!$C$18</x:f>
        <x:v>78130.2981901781</x:v>
      </x:c>
      <x:c r="J81" s="11" t="n">
        <x:f>M81*'Summary'!$C$18</x:f>
        <x:v>0</x:v>
      </x:c>
      <x:c r="K81" s="12" t="n">
        <x:v>90.83970719035179</x:v>
      </x:c>
      <x:c r="L81" s="12" t="n">
        <x:v>78.1302981901781</x:v>
      </x:c>
      <x:c r="M81" s="12" t="n">
        <x:v>0</x:v>
      </x:c>
      <x:c r="N81" s="2" t="str">
        <x:v>2004-03</x:v>
      </x:c>
    </x:row>
    <x:row r="82" ht="22" customHeight="1">
      <x:c r="A82" s="8" t="d">
        <x:v>2004-04-30T00:00:00.000Z</x:v>
      </x:c>
      <x:c r="B82" s="8" t="d">
        <x:v>2004-04-01T00:00:00.000Z</x:v>
      </x:c>
      <x:c r="C82" s="2" t="str">
        <x:v>MWW-201610</x:v>
      </x:c>
      <x:c r="D82" s="11" t="n">
        <x:f>76*'Summary'!$C$18</x:f>
        <x:v>76000</x:v>
      </x:c>
      <x:c r="E82" s="2" t="n">
        <x:v>498</x:v>
      </x:c>
      <x:c r="F82" s="2" t="n">
        <x:v>354</x:v>
      </x:c>
      <x:c r="G82" s="9" t="n">
        <x:f>F82/E82</x:f>
        <x:v>0.7108433734939759</x:v>
      </x:c>
      <x:c r="H82" s="11" t="n">
        <x:f>K82*'Summary'!$C$18</x:f>
        <x:v>86487.9355452115</x:v>
      </x:c>
      <x:c r="I82" s="11" t="n">
        <x:f>L82*'Summary'!$C$18</x:f>
        <x:v>77633.3100987404</x:v>
      </x:c>
      <x:c r="J82" s="11" t="n">
        <x:f>M82*'Summary'!$C$18</x:f>
        <x:v>0</x:v>
      </x:c>
      <x:c r="K82" s="12" t="n">
        <x:v>86.4879355452115</x:v>
      </x:c>
      <x:c r="L82" s="12" t="n">
        <x:v>77.63331009874041</x:v>
      </x:c>
      <x:c r="M82" s="12" t="n">
        <x:v>0</x:v>
      </x:c>
      <x:c r="N82" s="2" t="str">
        <x:v>2004-04</x:v>
      </x:c>
    </x:row>
    <x:row r="83" ht="22" customHeight="1">
      <x:c r="A83" s="8" t="d">
        <x:v>2004-05-28T00:00:00.000Z</x:v>
      </x:c>
      <x:c r="B83" s="8" t="d">
        <x:v>2004-05-03T00:00:00.000Z</x:v>
      </x:c>
      <x:c r="C83" s="2" t="str">
        <x:v>EBAY</x:v>
      </x:c>
      <x:c r="D83" s="11" t="n">
        <x:f>77*'Summary'!$C$18</x:f>
        <x:v>77000</x:v>
      </x:c>
      <x:c r="E83" s="2" t="n">
        <x:v>499</x:v>
      </x:c>
      <x:c r="F83" s="2" t="n">
        <x:v>357</x:v>
      </x:c>
      <x:c r="G83" s="9" t="n">
        <x:f>F83/E83</x:f>
        <x:v>0.7154308617234469</x:v>
      </x:c>
      <x:c r="H83" s="11" t="n">
        <x:f>K83*'Summary'!$C$18</x:f>
        <x:v>90439.9883335724</x:v>
      </x:c>
      <x:c r="I83" s="11" t="n">
        <x:f>L83*'Summary'!$C$18</x:f>
        <x:v>79976.0274867186</x:v>
      </x:c>
      <x:c r="J83" s="11" t="n">
        <x:f>M83*'Summary'!$C$18</x:f>
        <x:v>0</x:v>
      </x:c>
      <x:c r="K83" s="12" t="n">
        <x:v>90.4399883335724</x:v>
      </x:c>
      <x:c r="L83" s="12" t="n">
        <x:v>79.97602748671859</x:v>
      </x:c>
      <x:c r="M83" s="12" t="n">
        <x:v>0</x:v>
      </x:c>
      <x:c r="N83" s="2" t="str">
        <x:v>2004-05</x:v>
      </x:c>
    </x:row>
    <x:row r="84" ht="22" customHeight="1">
      <x:c r="A84" s="8" t="d">
        <x:v>2004-06-30T00:00:00.000Z</x:v>
      </x:c>
      <x:c r="B84" s="8" t="d">
        <x:v>2004-06-01T00:00:00.000Z</x:v>
      </x:c>
      <x:c r="C84" s="2" t="str">
        <x:v>AABA</x:v>
      </x:c>
      <x:c r="D84" s="11" t="n">
        <x:f>78*'Summary'!$C$18</x:f>
        <x:v>78000</x:v>
      </x:c>
      <x:c r="E84" s="2" t="n">
        <x:v>499</x:v>
      </x:c>
      <x:c r="F84" s="2" t="n">
        <x:v>357</x:v>
      </x:c>
      <x:c r="G84" s="9" t="n">
        <x:f>F84/E84</x:f>
        <x:v>0.7154308617234469</x:v>
      </x:c>
      <x:c r="H84" s="11" t="n">
        <x:f>K84*'Summary'!$C$18</x:f>
        <x:v>95885.4203939024</x:v>
      </x:c>
      <x:c r="I84" s="11" t="n">
        <x:f>L84*'Summary'!$C$18</x:f>
        <x:v>82477.8175284498</x:v>
      </x:c>
      <x:c r="J84" s="11" t="n">
        <x:f>M84*'Summary'!$C$18</x:f>
        <x:v>0</x:v>
      </x:c>
      <x:c r="K84" s="12" t="n">
        <x:v>95.88542039390241</x:v>
      </x:c>
      <x:c r="L84" s="12" t="n">
        <x:v>82.4778175284498</x:v>
      </x:c>
      <x:c r="M84" s="12" t="n">
        <x:v>0</x:v>
      </x:c>
      <x:c r="N84" s="2" t="str">
        <x:v>2004-06</x:v>
      </x:c>
    </x:row>
    <x:row r="85" ht="22" customHeight="1">
      <x:c r="A85" s="8" t="d">
        <x:v>2004-07-30T00:00:00.000Z</x:v>
      </x:c>
      <x:c r="B85" s="8" t="d">
        <x:v>2004-07-01T00:00:00.000Z</x:v>
      </x:c>
      <x:c r="C85" s="2" t="str">
        <x:v>ATI</x:v>
      </x:c>
      <x:c r="D85" s="11" t="n">
        <x:f>79*'Summary'!$C$18</x:f>
        <x:v>79000</x:v>
      </x:c>
      <x:c r="E85" s="2" t="n">
        <x:v>499</x:v>
      </x:c>
      <x:c r="F85" s="2" t="n">
        <x:v>358</x:v>
      </x:c>
      <x:c r="G85" s="9" t="n">
        <x:f>F85/E85</x:f>
        <x:v>0.717434869739479</x:v>
      </x:c>
      <x:c r="H85" s="11" t="n">
        <x:f>K85*'Summary'!$C$18</x:f>
        <x:v>93640.1792760303</x:v>
      </x:c>
      <x:c r="I85" s="11" t="n">
        <x:f>L85*'Summary'!$C$18</x:f>
        <x:v>80790.6463762037</x:v>
      </x:c>
      <x:c r="J85" s="11" t="n">
        <x:f>M85*'Summary'!$C$18</x:f>
        <x:v>0</x:v>
      </x:c>
      <x:c r="K85" s="12" t="n">
        <x:v>93.64017927603031</x:v>
      </x:c>
      <x:c r="L85" s="12" t="n">
        <x:v>80.7906463762037</x:v>
      </x:c>
      <x:c r="M85" s="12" t="n">
        <x:v>0</x:v>
      </x:c>
      <x:c r="N85" s="2" t="str">
        <x:v>2004-07</x:v>
      </x:c>
    </x:row>
    <x:row r="86" ht="22" customHeight="1">
      <x:c r="A86" s="8" t="d">
        <x:v>2004-08-31T00:00:00.000Z</x:v>
      </x:c>
      <x:c r="B86" s="8" t="d">
        <x:v>2004-08-02T00:00:00.000Z</x:v>
      </x:c>
      <x:c r="C86" s="2" t="str">
        <x:v>GT</x:v>
      </x:c>
      <x:c r="D86" s="11" t="n">
        <x:f>80*'Summary'!$C$18</x:f>
        <x:v>80000</x:v>
      </x:c>
      <x:c r="E86" s="2" t="n">
        <x:v>499</x:v>
      </x:c>
      <x:c r="F86" s="2" t="n">
        <x:v>359</x:v>
      </x:c>
      <x:c r="G86" s="9" t="n">
        <x:f>F86/E86</x:f>
        <x:v>0.7194388777555111</x:v>
      </x:c>
      <x:c r="H86" s="11" t="n">
        <x:f>K86*'Summary'!$C$18</x:f>
        <x:v>94778.2999777365</x:v>
      </x:c>
      <x:c r="I86" s="11" t="n">
        <x:f>L86*'Summary'!$C$18</x:f>
        <x:v>81995.8001613926</x:v>
      </x:c>
      <x:c r="J86" s="11" t="n">
        <x:f>M86*'Summary'!$C$18</x:f>
        <x:v>0</x:v>
      </x:c>
      <x:c r="K86" s="12" t="n">
        <x:v>94.77829997773651</x:v>
      </x:c>
      <x:c r="L86" s="12" t="n">
        <x:v>81.99580016139261</x:v>
      </x:c>
      <x:c r="M86" s="12" t="n">
        <x:v>0</x:v>
      </x:c>
      <x:c r="N86" s="2" t="str">
        <x:v>2004-08</x:v>
      </x:c>
    </x:row>
    <x:row r="87" ht="22" customHeight="1">
      <x:c r="A87" s="8" t="d">
        <x:v>2004-09-30T00:00:00.000Z</x:v>
      </x:c>
      <x:c r="B87" s="8" t="d">
        <x:v>2004-09-01T00:00:00.000Z</x:v>
      </x:c>
      <x:c r="C87" s="2" t="str">
        <x:v>VTRS</x:v>
      </x:c>
      <x:c r="D87" s="11" t="n">
        <x:f>81*'Summary'!$C$18</x:f>
        <x:v>81000</x:v>
      </x:c>
      <x:c r="E87" s="2" t="n">
        <x:v>499</x:v>
      </x:c>
      <x:c r="F87" s="2" t="n">
        <x:v>359</x:v>
      </x:c>
      <x:c r="G87" s="9" t="n">
        <x:f>F87/E87</x:f>
        <x:v>0.7194388777555111</x:v>
      </x:c>
      <x:c r="H87" s="11" t="n">
        <x:f>K87*'Summary'!$C$18</x:f>
        <x:v>99339.6711966603</x:v>
      </x:c>
      <x:c r="I87" s="11" t="n">
        <x:f>L87*'Summary'!$C$18</x:f>
        <x:v>83830.2843867685</x:v>
      </x:c>
      <x:c r="J87" s="11" t="n">
        <x:f>M87*'Summary'!$C$18</x:f>
        <x:v>0</x:v>
      </x:c>
      <x:c r="K87" s="12" t="n">
        <x:v>99.3396711966603</x:v>
      </x:c>
      <x:c r="L87" s="12" t="n">
        <x:v>83.8302843867685</x:v>
      </x:c>
      <x:c r="M87" s="12" t="n">
        <x:v>0</x:v>
      </x:c>
      <x:c r="N87" s="2" t="str">
        <x:v>2004-09</x:v>
      </x:c>
    </x:row>
    <x:row r="88" ht="22" customHeight="1">
      <x:c r="A88" s="8" t="d">
        <x:v>2004-10-29T00:00:00.000Z</x:v>
      </x:c>
      <x:c r="B88" s="8" t="d">
        <x:v>2004-10-01T00:00:00.000Z</x:v>
      </x:c>
      <x:c r="C88" s="2" t="str">
        <x:v>IGT-201504</x:v>
      </x:c>
      <x:c r="D88" s="11" t="n">
        <x:f>82*'Summary'!$C$18</x:f>
        <x:v>82000</x:v>
      </x:c>
      <x:c r="E88" s="2" t="n">
        <x:v>499</x:v>
      </x:c>
      <x:c r="F88" s="2" t="n">
        <x:v>360</x:v>
      </x:c>
      <x:c r="G88" s="9" t="n">
        <x:f>F88/E88</x:f>
        <x:v>0.7214428857715431</x:v>
      </x:c>
      <x:c r="H88" s="11" t="n">
        <x:f>K88*'Summary'!$C$18</x:f>
        <x:v>105208.3605660644</x:v>
      </x:c>
      <x:c r="I88" s="11" t="n">
        <x:f>L88*'Summary'!$C$18</x:f>
        <x:v>85918.7863588573</x:v>
      </x:c>
      <x:c r="J88" s="11" t="n">
        <x:f>M88*'Summary'!$C$18</x:f>
        <x:v>0</x:v>
      </x:c>
      <x:c r="K88" s="12" t="n">
        <x:v>105.2083605660644</x:v>
      </x:c>
      <x:c r="L88" s="12" t="n">
        <x:v>85.91878635885729</x:v>
      </x:c>
      <x:c r="M88" s="12" t="n">
        <x:v>0</x:v>
      </x:c>
      <x:c r="N88" s="2" t="str">
        <x:v>2004-10</x:v>
      </x:c>
    </x:row>
    <x:row r="89" ht="22" customHeight="1">
      <x:c r="A89" s="8" t="d">
        <x:v>2004-11-30T00:00:00.000Z</x:v>
      </x:c>
      <x:c r="B89" s="8" t="d">
        <x:v>2004-11-01T00:00:00.000Z</x:v>
      </x:c>
      <x:c r="C89" s="2" t="str">
        <x:v>CTXS</x:v>
      </x:c>
      <x:c r="D89" s="11" t="n">
        <x:f>83*'Summary'!$C$18</x:f>
        <x:v>83000</x:v>
      </x:c>
      <x:c r="E89" s="2" t="n">
        <x:v>499</x:v>
      </x:c>
      <x:c r="F89" s="2" t="n">
        <x:v>360</x:v>
      </x:c>
      <x:c r="G89" s="9" t="n">
        <x:f>F89/E89</x:f>
        <x:v>0.7214428857715431</x:v>
      </x:c>
      <x:c r="H89" s="11" t="n">
        <x:f>K89*'Summary'!$C$18</x:f>
        <x:v>116909.9162796841</x:v>
      </x:c>
      <x:c r="I89" s="11" t="n">
        <x:f>L89*'Summary'!$C$18</x:f>
        <x:v>90784.8780093134</x:v>
      </x:c>
      <x:c r="J89" s="11" t="n">
        <x:f>M89*'Summary'!$C$18</x:f>
        <x:v>0</x:v>
      </x:c>
      <x:c r="K89" s="12" t="n">
        <x:v>116.9099162796841</x:v>
      </x:c>
      <x:c r="L89" s="12" t="n">
        <x:v>90.7848780093134</x:v>
      </x:c>
      <x:c r="M89" s="12" t="n">
        <x:v>0</x:v>
      </x:c>
      <x:c r="N89" s="2" t="str">
        <x:v>2004-11</x:v>
      </x:c>
    </x:row>
    <x:row r="90" ht="22" customHeight="1">
      <x:c r="A90" s="8" t="d">
        <x:v>2004-12-31T00:00:00.000Z</x:v>
      </x:c>
      <x:c r="B90" s="8" t="d">
        <x:v>2004-12-01T00:00:00.000Z</x:v>
      </x:c>
      <x:c r="C90" s="2" t="str">
        <x:v>X</x:v>
      </x:c>
      <x:c r="D90" s="11" t="n">
        <x:f>84*'Summary'!$C$18</x:f>
        <x:v>84000</x:v>
      </x:c>
      <x:c r="E90" s="2" t="n">
        <x:v>499</x:v>
      </x:c>
      <x:c r="F90" s="2" t="n">
        <x:v>361</x:v>
      </x:c>
      <x:c r="G90" s="9" t="n">
        <x:f>F90/E90</x:f>
        <x:v>0.7234468937875751</x:v>
      </x:c>
      <x:c r="H90" s="11" t="n">
        <x:f>K90*'Summary'!$C$18</x:f>
        <x:v>123476.9342967037</x:v>
      </x:c>
      <x:c r="I90" s="11" t="n">
        <x:f>L90*'Summary'!$C$18</x:f>
        <x:v>94547.1805135787</x:v>
      </x:c>
      <x:c r="J90" s="11" t="n">
        <x:f>M90*'Summary'!$C$18</x:f>
        <x:v>0</x:v>
      </x:c>
      <x:c r="K90" s="12" t="n">
        <x:v>123.47693429670369</x:v>
      </x:c>
      <x:c r="L90" s="12" t="n">
        <x:v>94.5471805135787</x:v>
      </x:c>
      <x:c r="M90" s="12" t="n">
        <x:v>0</x:v>
      </x:c>
      <x:c r="N90" s="2" t="str">
        <x:v>2004-12</x:v>
      </x:c>
    </x:row>
    <x:row r="91" ht="22" customHeight="1">
      <x:c r="A91" s="8" t="d">
        <x:v>2005-01-31T00:00:00.000Z</x:v>
      </x:c>
      <x:c r="B91" s="8" t="d">
        <x:v>2005-01-03T00:00:00.000Z</x:v>
      </x:c>
      <x:c r="C91" s="2" t="str">
        <x:v>CIEN</x:v>
      </x:c>
      <x:c r="D91" s="11" t="n">
        <x:f>85*'Summary'!$C$18</x:f>
        <x:v>85000</x:v>
      </x:c>
      <x:c r="E91" s="2" t="n">
        <x:v>499</x:v>
      </x:c>
      <x:c r="F91" s="2" t="n">
        <x:v>362</x:v>
      </x:c>
      <x:c r="G91" s="9" t="n">
        <x:f>F91/E91</x:f>
        <x:v>0.7254509018036072</x:v>
      </x:c>
      <x:c r="H91" s="11" t="n">
        <x:f>K91*'Summary'!$C$18</x:f>
        <x:v>123487.6114884115</x:v>
      </x:c>
      <x:c r="I91" s="11" t="n">
        <x:f>L91*'Summary'!$C$18</x:f>
        <x:v>93399.3898152775</x:v>
      </x:c>
      <x:c r="J91" s="11" t="n">
        <x:f>M91*'Summary'!$C$18</x:f>
        <x:v>0</x:v>
      </x:c>
      <x:c r="K91" s="12" t="n">
        <x:v>123.48761148841149</x:v>
      </x:c>
      <x:c r="L91" s="12" t="n">
        <x:v>93.39938981527749</x:v>
      </x:c>
      <x:c r="M91" s="12" t="n">
        <x:v>0</x:v>
      </x:c>
      <x:c r="N91" s="2" t="str">
        <x:v>2005-01</x:v>
      </x:c>
    </x:row>
    <x:row r="92" ht="22" customHeight="1">
      <x:c r="A92" s="8" t="d">
        <x:v>2005-02-28T00:00:00.000Z</x:v>
      </x:c>
      <x:c r="B92" s="8" t="d">
        <x:v>2005-02-01T00:00:00.000Z</x:v>
      </x:c>
      <x:c r="C92" s="2" t="str">
        <x:v>AAPL</x:v>
      </x:c>
      <x:c r="D92" s="11" t="n">
        <x:f>86*'Summary'!$C$18</x:f>
        <x:v>86000</x:v>
      </x:c>
      <x:c r="E92" s="2" t="n">
        <x:v>499</x:v>
      </x:c>
      <x:c r="F92" s="2" t="n">
        <x:v>362</x:v>
      </x:c>
      <x:c r="G92" s="9" t="n">
        <x:f>F92/E92</x:f>
        <x:v>0.7254509018036072</x:v>
      </x:c>
      <x:c r="H92" s="11" t="n">
        <x:f>K92*'Summary'!$C$18</x:f>
        <x:v>129812.2637055043</x:v>
      </x:c>
      <x:c r="I92" s="11" t="n">
        <x:f>L92*'Summary'!$C$18</x:f>
        <x:v>96371.9192072977</x:v>
      </x:c>
      <x:c r="J92" s="11" t="n">
        <x:f>M92*'Summary'!$C$18</x:f>
        <x:v>0</x:v>
      </x:c>
      <x:c r="K92" s="12" t="n">
        <x:v>129.8122637055043</x:v>
      </x:c>
      <x:c r="L92" s="12" t="n">
        <x:v>96.37191920729771</x:v>
      </x:c>
      <x:c r="M92" s="12" t="n">
        <x:v>0</x:v>
      </x:c>
      <x:c r="N92" s="2" t="str">
        <x:v>2005-02</x:v>
      </x:c>
    </x:row>
    <x:row r="93" ht="22" customHeight="1">
      <x:c r="A93" s="8" t="d">
        <x:v>2005-03-31T00:00:00.000Z</x:v>
      </x:c>
      <x:c r="B93" s="8" t="d">
        <x:v>2005-03-01T00:00:00.000Z</x:v>
      </x:c>
      <x:c r="C93" s="2" t="str">
        <x:v>VLO</x:v>
      </x:c>
      <x:c r="D93" s="11" t="n">
        <x:f>87*'Summary'!$C$18</x:f>
        <x:v>87000</x:v>
      </x:c>
      <x:c r="E93" s="2" t="n">
        <x:v>499</x:v>
      </x:c>
      <x:c r="F93" s="2" t="n">
        <x:v>362</x:v>
      </x:c>
      <x:c r="G93" s="9" t="n">
        <x:f>F93/E93</x:f>
        <x:v>0.7254509018036072</x:v>
      </x:c>
      <x:c r="H93" s="11" t="n">
        <x:f>K93*'Summary'!$C$18</x:f>
        <x:v>127091.0314324183</x:v>
      </x:c>
      <x:c r="I93" s="11" t="n">
        <x:f>L93*'Summary'!$C$18</x:f>
        <x:v>95589.1683109736</x:v>
      </x:c>
      <x:c r="J93" s="11" t="n">
        <x:f>M93*'Summary'!$C$18</x:f>
        <x:v>0</x:v>
      </x:c>
      <x:c r="K93" s="12" t="n">
        <x:v>127.0910314324183</x:v>
      </x:c>
      <x:c r="L93" s="12" t="n">
        <x:v>95.5891683109736</x:v>
      </x:c>
      <x:c r="M93" s="12" t="n">
        <x:v>0</x:v>
      </x:c>
      <x:c r="N93" s="2" t="str">
        <x:v>2005-03</x:v>
      </x:c>
    </x:row>
    <x:row r="94" ht="22" customHeight="1">
      <x:c r="A94" s="8" t="d">
        <x:v>2005-04-29T00:00:00.000Z</x:v>
      </x:c>
      <x:c r="B94" s="8" t="d">
        <x:v>2005-04-01T00:00:00.000Z</x:v>
      </x:c>
      <x:c r="C94" s="2" t="str">
        <x:v>JCP</x:v>
      </x:c>
      <x:c r="D94" s="11" t="n">
        <x:f>88*'Summary'!$C$18</x:f>
        <x:v>88000</x:v>
      </x:c>
      <x:c r="E94" s="2" t="n">
        <x:v>500</x:v>
      </x:c>
      <x:c r="F94" s="2" t="n">
        <x:v>363</x:v>
      </x:c>
      <x:c r="G94" s="9" t="n">
        <x:f>F94/E94</x:f>
        <x:v>0.726</x:v>
      </x:c>
      <x:c r="H94" s="11" t="n">
        <x:f>K94*'Summary'!$C$18</x:f>
        <x:v>123012.0100350592</x:v>
      </x:c>
      <x:c r="I94" s="11" t="n">
        <x:f>L94*'Summary'!$C$18</x:f>
        <x:v>94774.0131081672</x:v>
      </x:c>
      <x:c r="J94" s="11" t="n">
        <x:f>M94*'Summary'!$C$18</x:f>
        <x:v>0</x:v>
      </x:c>
      <x:c r="K94" s="12" t="n">
        <x:v>123.01201003505919</x:v>
      </x:c>
      <x:c r="L94" s="12" t="n">
        <x:v>94.7740131081672</x:v>
      </x:c>
      <x:c r="M94" s="12" t="n">
        <x:v>0</x:v>
      </x:c>
      <x:c r="N94" s="2" t="str">
        <x:v>2005-04</x:v>
      </x:c>
    </x:row>
    <x:row r="95" ht="22" customHeight="1">
      <x:c r="A95" s="8" t="d">
        <x:v>2005-05-31T00:00:00.000Z</x:v>
      </x:c>
      <x:c r="B95" s="8" t="d">
        <x:v>2005-05-02T00:00:00.000Z</x:v>
      </x:c>
      <x:c r="C95" s="2" t="str">
        <x:v>CIEN</x:v>
      </x:c>
      <x:c r="D95" s="11" t="n">
        <x:f>89*'Summary'!$C$18</x:f>
        <x:v>89000</x:v>
      </x:c>
      <x:c r="E95" s="2" t="n">
        <x:v>500</x:v>
      </x:c>
      <x:c r="F95" s="2" t="n">
        <x:v>363</x:v>
      </x:c>
      <x:c r="G95" s="9" t="n">
        <x:f>F95/E95</x:f>
        <x:v>0.726</x:v>
      </x:c>
      <x:c r="H95" s="11" t="n">
        <x:f>K95*'Summary'!$C$18</x:f>
        <x:v>128804.78936484709</x:v>
      </x:c>
      <x:c r="I95" s="11" t="n">
        <x:f>L95*'Summary'!$C$18</x:f>
        <x:v>98857.4514622267</x:v>
      </x:c>
      <x:c r="J95" s="11" t="n">
        <x:f>M95*'Summary'!$C$18</x:f>
        <x:v>0</x:v>
      </x:c>
      <x:c r="K95" s="12" t="n">
        <x:v>128.8047893648471</x:v>
      </x:c>
      <x:c r="L95" s="12" t="n">
        <x:v>98.8574514622267</x:v>
      </x:c>
      <x:c r="M95" s="12" t="n">
        <x:v>0</x:v>
      </x:c>
      <x:c r="N95" s="2" t="str">
        <x:v>2005-05</x:v>
      </x:c>
    </x:row>
    <x:row r="96" ht="22" customHeight="1">
      <x:c r="A96" s="8" t="d">
        <x:v>2005-06-30T00:00:00.000Z</x:v>
      </x:c>
      <x:c r="B96" s="8" t="d">
        <x:v>2005-06-01T00:00:00.000Z</x:v>
      </x:c>
      <x:c r="C96" s="2" t="str">
        <x:v>SANM</x:v>
      </x:c>
      <x:c r="D96" s="11" t="n">
        <x:f>90*'Summary'!$C$18</x:f>
        <x:v>90000</x:v>
      </x:c>
      <x:c r="E96" s="2" t="n">
        <x:v>500</x:v>
      </x:c>
      <x:c r="F96" s="2" t="n">
        <x:v>363</x:v>
      </x:c>
      <x:c r="G96" s="9" t="n">
        <x:f>F96/E96</x:f>
        <x:v>0.726</x:v>
      </x:c>
      <x:c r="H96" s="11" t="n">
        <x:f>K96*'Summary'!$C$18</x:f>
        <x:v>131428.787503751</x:v>
      </x:c>
      <x:c r="I96" s="11" t="n">
        <x:f>L96*'Summary'!$C$18</x:f>
        <x:v>100008.3956966054</x:v>
      </x:c>
      <x:c r="J96" s="11" t="n">
        <x:f>M96*'Summary'!$C$18</x:f>
        <x:v>0</x:v>
      </x:c>
      <x:c r="K96" s="12" t="n">
        <x:v>131.42878750375098</x:v>
      </x:c>
      <x:c r="L96" s="12" t="n">
        <x:v>100.00839569660539</x:v>
      </x:c>
      <x:c r="M96" s="12" t="n">
        <x:v>0</x:v>
      </x:c>
      <x:c r="N96" s="2" t="str">
        <x:v>2005-06</x:v>
      </x:c>
    </x:row>
    <x:row r="97" ht="22" customHeight="1">
      <x:c r="A97" s="8" t="d">
        <x:v>2005-07-29T00:00:00.000Z</x:v>
      </x:c>
      <x:c r="B97" s="8" t="d">
        <x:v>2005-07-01T00:00:00.000Z</x:v>
      </x:c>
      <x:c r="C97" s="2" t="str">
        <x:v>BBY</x:v>
      </x:c>
      <x:c r="D97" s="11" t="n">
        <x:f>91*'Summary'!$C$18</x:f>
        <x:v>91000</x:v>
      </x:c>
      <x:c r="E97" s="2" t="n">
        <x:v>500</x:v>
      </x:c>
      <x:c r="F97" s="2" t="n">
        <x:v>363</x:v>
      </x:c>
      <x:c r="G97" s="9" t="n">
        <x:f>F97/E97</x:f>
        <x:v>0.726</x:v>
      </x:c>
      <x:c r="H97" s="11" t="n">
        <x:f>K97*'Summary'!$C$18</x:f>
        <x:v>140259.8282508312</x:v>
      </x:c>
      <x:c r="I97" s="11" t="n">
        <x:f>L97*'Summary'!$C$18</x:f>
        <x:v>104870.7748132808</x:v>
      </x:c>
      <x:c r="J97" s="11" t="n">
        <x:f>M97*'Summary'!$C$18</x:f>
        <x:v>0</x:v>
      </x:c>
      <x:c r="K97" s="12" t="n">
        <x:v>140.2598282508312</x:v>
      </x:c>
      <x:c r="L97" s="12" t="n">
        <x:v>104.8707748132808</x:v>
      </x:c>
      <x:c r="M97" s="12" t="n">
        <x:v>0</x:v>
      </x:c>
      <x:c r="N97" s="2" t="str">
        <x:v>2005-07</x:v>
      </x:c>
    </x:row>
    <x:row r="98" ht="22" customHeight="1">
      <x:c r="A98" s="8" t="d">
        <x:v>2005-08-31T00:00:00.000Z</x:v>
      </x:c>
      <x:c r="B98" s="8" t="d">
        <x:v>2005-08-01T00:00:00.000Z</x:v>
      </x:c>
      <x:c r="C98" s="2" t="str">
        <x:v>RHI</x:v>
      </x:c>
      <x:c r="D98" s="11" t="n">
        <x:f>92*'Summary'!$C$18</x:f>
        <x:v>92000</x:v>
      </x:c>
      <x:c r="E98" s="2" t="n">
        <x:v>500</x:v>
      </x:c>
      <x:c r="F98" s="2" t="n">
        <x:v>366</x:v>
      </x:c>
      <x:c r="G98" s="9" t="n">
        <x:f>F98/E98</x:f>
        <x:v>0.732</x:v>
      </x:c>
      <x:c r="H98" s="11" t="n">
        <x:f>K98*'Summary'!$C$18</x:f>
        <x:v>146924.5718545257</x:v>
      </x:c>
      <x:c r="I98" s="11" t="n">
        <x:f>L98*'Summary'!$C$18</x:f>
        <x:v>104877.5731298754</x:v>
      </x:c>
      <x:c r="J98" s="11" t="n">
        <x:f>M98*'Summary'!$C$18</x:f>
        <x:v>0</x:v>
      </x:c>
      <x:c r="K98" s="12" t="n">
        <x:v>146.9245718545257</x:v>
      </x:c>
      <x:c r="L98" s="12" t="n">
        <x:v>104.8775731298754</x:v>
      </x:c>
      <x:c r="M98" s="12" t="n">
        <x:v>0</x:v>
      </x:c>
      <x:c r="N98" s="2" t="str">
        <x:v>2005-08</x:v>
      </x:c>
    </x:row>
    <x:row r="99" ht="22" customHeight="1">
      <x:c r="A99" s="8" t="d">
        <x:v>2005-09-30T00:00:00.000Z</x:v>
      </x:c>
      <x:c r="B99" s="8" t="d">
        <x:v>2005-09-01T00:00:00.000Z</x:v>
      </x:c>
      <x:c r="C99" s="2" t="str">
        <x:v>VLO</x:v>
      </x:c>
      <x:c r="D99" s="11" t="n">
        <x:f>93*'Summary'!$C$18</x:f>
        <x:v>93000</x:v>
      </x:c>
      <x:c r="E99" s="2" t="n">
        <x:v>500</x:v>
      </x:c>
      <x:c r="F99" s="2" t="n">
        <x:v>371</x:v>
      </x:c>
      <x:c r="G99" s="9" t="n">
        <x:f>F99/E99</x:f>
        <x:v>0.742</x:v>
      </x:c>
      <x:c r="H99" s="11" t="n">
        <x:f>K99*'Summary'!$C$18</x:f>
        <x:v>153981.6782263973</x:v>
      </x:c>
      <x:c r="I99" s="11" t="n">
        <x:f>L99*'Summary'!$C$18</x:f>
        <x:v>106727.7761128051</x:v>
      </x:c>
      <x:c r="J99" s="11" t="n">
        <x:f>M99*'Summary'!$C$18</x:f>
        <x:v>0</x:v>
      </x:c>
      <x:c r="K99" s="12" t="n">
        <x:v>153.9816782263973</x:v>
      </x:c>
      <x:c r="L99" s="12" t="n">
        <x:v>106.7277761128051</x:v>
      </x:c>
      <x:c r="M99" s="12" t="n">
        <x:v>0</x:v>
      </x:c>
      <x:c r="N99" s="2" t="str">
        <x:v>2005-09</x:v>
      </x:c>
    </x:row>
    <x:row r="100" ht="22" customHeight="1">
      <x:c r="A100" s="8" t="d">
        <x:v>2005-10-31T00:00:00.000Z</x:v>
      </x:c>
      <x:c r="B100" s="8" t="d">
        <x:v>2005-10-03T00:00:00.000Z</x:v>
      </x:c>
      <x:c r="C100" s="2" t="str">
        <x:v>VIAV</x:v>
      </x:c>
      <x:c r="D100" s="11" t="n">
        <x:f>94*'Summary'!$C$18</x:f>
        <x:v>94000</x:v>
      </x:c>
      <x:c r="E100" s="2" t="n">
        <x:v>500</x:v>
      </x:c>
      <x:c r="F100" s="2" t="n">
        <x:v>371</x:v>
      </x:c>
      <x:c r="G100" s="9" t="n">
        <x:f>F100/E100</x:f>
        <x:v>0.742</x:v>
      </x:c>
      <x:c r="H100" s="11" t="n">
        <x:f>K100*'Summary'!$C$18</x:f>
        <x:v>151794.9683774029</x:v>
      </x:c>
      <x:c r="I100" s="11" t="n">
        <x:f>L100*'Summary'!$C$18</x:f>
        <x:v>105180.5552080844</x:v>
      </x:c>
      <x:c r="J100" s="11" t="n">
        <x:f>M100*'Summary'!$C$18</x:f>
        <x:v>0</x:v>
      </x:c>
      <x:c r="K100" s="12" t="n">
        <x:v>151.7949683774029</x:v>
      </x:c>
      <x:c r="L100" s="12" t="n">
        <x:v>105.1805552080844</x:v>
      </x:c>
      <x:c r="M100" s="12" t="n">
        <x:v>0</x:v>
      </x:c>
      <x:c r="N100" s="2" t="str">
        <x:v>2005-10</x:v>
      </x:c>
    </x:row>
    <x:row r="101" ht="22" customHeight="1">
      <x:c r="A101" s="8" t="d">
        <x:v>2005-11-30T00:00:00.000Z</x:v>
      </x:c>
      <x:c r="B101" s="8" t="d">
        <x:v>2005-11-01T00:00:00.000Z</x:v>
      </x:c>
      <x:c r="C101" s="2" t="str">
        <x:v>JNS-201705</x:v>
      </x:c>
      <x:c r="D101" s="11" t="n">
        <x:f>95*'Summary'!$C$18</x:f>
        <x:v>95000</x:v>
      </x:c>
      <x:c r="E101" s="2" t="n">
        <x:v>500</x:v>
      </x:c>
      <x:c r="F101" s="2" t="n">
        <x:v>374</x:v>
      </x:c>
      <x:c r="G101" s="9" t="n">
        <x:f>F101/E101</x:f>
        <x:v>0.748</x:v>
      </x:c>
      <x:c r="H101" s="11" t="n">
        <x:f>K101*'Summary'!$C$18</x:f>
        <x:v>164820.4944734935</x:v>
      </x:c>
      <x:c r="I101" s="11" t="n">
        <x:f>L101*'Summary'!$C$18</x:f>
        <x:v>110843.5535818482</x:v>
      </x:c>
      <x:c r="J101" s="11" t="n">
        <x:f>M101*'Summary'!$C$18</x:f>
        <x:v>0</x:v>
      </x:c>
      <x:c r="K101" s="12" t="n">
        <x:v>164.8204944734935</x:v>
      </x:c>
      <x:c r="L101" s="12" t="n">
        <x:v>110.8435535818482</x:v>
      </x:c>
      <x:c r="M101" s="12" t="n">
        <x:v>0</x:v>
      </x:c>
      <x:c r="N101" s="2" t="str">
        <x:v>2005-11</x:v>
      </x:c>
    </x:row>
    <x:row r="102" ht="22" customHeight="1">
      <x:c r="A102" s="8" t="d">
        <x:v>2005-12-30T00:00:00.000Z</x:v>
      </x:c>
      <x:c r="B102" s="8" t="d">
        <x:v>2005-12-01T00:00:00.000Z</x:v>
      </x:c>
      <x:c r="C102" s="2" t="str">
        <x:v>X</x:v>
      </x:c>
      <x:c r="D102" s="11" t="n">
        <x:f>96*'Summary'!$C$18</x:f>
        <x:v>96000</x:v>
      </x:c>
      <x:c r="E102" s="2" t="n">
        <x:v>500</x:v>
      </x:c>
      <x:c r="F102" s="2" t="n">
        <x:v>375</x:v>
      </x:c>
      <x:c r="G102" s="9" t="n">
        <x:f>F102/E102</x:f>
        <x:v>0.75</x:v>
      </x:c>
      <x:c r="H102" s="11" t="n">
        <x:f>K102*'Summary'!$C$18</x:f>
        <x:v>171667.644152592</x:v>
      </x:c>
      <x:c r="I102" s="11" t="n">
        <x:f>L102*'Summary'!$C$18</x:f>
        <x:v>111624.7104773664</x:v>
      </x:c>
      <x:c r="J102" s="11" t="n">
        <x:f>M102*'Summary'!$C$18</x:f>
        <x:v>0</x:v>
      </x:c>
      <x:c r="K102" s="12" t="n">
        <x:v>171.667644152592</x:v>
      </x:c>
      <x:c r="L102" s="12" t="n">
        <x:v>111.6247104773664</x:v>
      </x:c>
      <x:c r="M102" s="12" t="n">
        <x:v>0</x:v>
      </x:c>
      <x:c r="N102" s="2" t="str">
        <x:v>2005-12</x:v>
      </x:c>
    </x:row>
    <x:row r="103" ht="22" customHeight="1">
      <x:c r="A103" s="8" t="d">
        <x:v>2006-01-31T00:00:00.000Z</x:v>
      </x:c>
      <x:c r="B103" s="8" t="d">
        <x:v>2006-01-03T00:00:00.000Z</x:v>
      </x:c>
      <x:c r="C103" s="2" t="str">
        <x:v>DDS</x:v>
      </x:c>
      <x:c r="D103" s="11" t="n">
        <x:f>97*'Summary'!$C$18</x:f>
        <x:v>97000</x:v>
      </x:c>
      <x:c r="E103" s="2" t="n">
        <x:v>500</x:v>
      </x:c>
      <x:c r="F103" s="2" t="n">
        <x:v>377</x:v>
      </x:c>
      <x:c r="G103" s="9" t="n">
        <x:f>F103/E103</x:f>
        <x:v>0.754</x:v>
      </x:c>
      <x:c r="H103" s="11" t="n">
        <x:f>K103*'Summary'!$C$18</x:f>
        <x:v>189674.279947038</x:v>
      </x:c>
      <x:c r="I103" s="11" t="n">
        <x:f>L103*'Summary'!$C$18</x:f>
        <x:v>115323.731361933</x:v>
      </x:c>
      <x:c r="J103" s="11" t="n">
        <x:f>M103*'Summary'!$C$18</x:f>
        <x:v>0</x:v>
      </x:c>
      <x:c r="K103" s="12" t="n">
        <x:v>189.674279947038</x:v>
      </x:c>
      <x:c r="L103" s="12" t="n">
        <x:v>115.323731361933</x:v>
      </x:c>
      <x:c r="M103" s="12" t="n">
        <x:v>0</x:v>
      </x:c>
      <x:c r="N103" s="2" t="str">
        <x:v>2006-01</x:v>
      </x:c>
    </x:row>
    <x:row r="104" ht="22" customHeight="1">
      <x:c r="A104" s="8" t="d">
        <x:v>2006-02-28T00:00:00.000Z</x:v>
      </x:c>
      <x:c r="B104" s="8" t="d">
        <x:v>2006-02-01T00:00:00.000Z</x:v>
      </x:c>
      <x:c r="C104" s="2" t="str">
        <x:v>BRCM-201601</x:v>
      </x:c>
      <x:c r="D104" s="11" t="n">
        <x:f>98*'Summary'!$C$18</x:f>
        <x:v>98000</x:v>
      </x:c>
      <x:c r="E104" s="2" t="n">
        <x:v>500</x:v>
      </x:c>
      <x:c r="F104" s="2" t="n">
        <x:v>381</x:v>
      </x:c>
      <x:c r="G104" s="9" t="n">
        <x:f>F104/E104</x:f>
        <x:v>0.762</x:v>
      </x:c>
      <x:c r="H104" s="11" t="n">
        <x:f>K104*'Summary'!$C$18</x:f>
        <x:v>187694.7266640362</x:v>
      </x:c>
      <x:c r="I104" s="11" t="n">
        <x:f>L104*'Summary'!$C$18</x:f>
        <x:v>116987.21999554</x:v>
      </x:c>
      <x:c r="J104" s="11" t="n">
        <x:f>M104*'Summary'!$C$18</x:f>
        <x:v>0</x:v>
      </x:c>
      <x:c r="K104" s="12" t="n">
        <x:v>187.69472666403618</x:v>
      </x:c>
      <x:c r="L104" s="12" t="n">
        <x:v>116.98721999554</x:v>
      </x:c>
      <x:c r="M104" s="12" t="n">
        <x:v>0</x:v>
      </x:c>
      <x:c r="N104" s="2" t="str">
        <x:v>2006-02</x:v>
      </x:c>
    </x:row>
    <x:row r="105" ht="22" customHeight="1">
      <x:c r="A105" s="8" t="d">
        <x:v>2006-03-31T00:00:00.000Z</x:v>
      </x:c>
      <x:c r="B105" s="8" t="d">
        <x:v>2006-03-01T00:00:00.000Z</x:v>
      </x:c>
      <x:c r="C105" s="2" t="str">
        <x:v>VTRS</x:v>
      </x:c>
      <x:c r="D105" s="11" t="n">
        <x:f>99*'Summary'!$C$18</x:f>
        <x:v>99000</x:v>
      </x:c>
      <x:c r="E105" s="2" t="n">
        <x:v>500</x:v>
      </x:c>
      <x:c r="F105" s="2" t="n">
        <x:v>383</x:v>
      </x:c>
      <x:c r="G105" s="9" t="n">
        <x:f>F105/E105</x:f>
        <x:v>0.766</x:v>
      </x:c>
      <x:c r="H105" s="11" t="n">
        <x:f>K105*'Summary'!$C$18</x:f>
        <x:v>193937.9253392392</x:v>
      </x:c>
      <x:c r="I105" s="11" t="n">
        <x:f>L105*'Summary'!$C$18</x:f>
        <x:v>119931.5473063655</x:v>
      </x:c>
      <x:c r="J105" s="11" t="n">
        <x:f>M105*'Summary'!$C$18</x:f>
        <x:v>0</x:v>
      </x:c>
      <x:c r="K105" s="12" t="n">
        <x:v>193.9379253392392</x:v>
      </x:c>
      <x:c r="L105" s="12" t="n">
        <x:v>119.93154730636549</x:v>
      </x:c>
      <x:c r="M105" s="12" t="n">
        <x:v>0</x:v>
      </x:c>
      <x:c r="N105" s="2" t="str">
        <x:v>2006-03</x:v>
      </x:c>
    </x:row>
    <x:row r="106" ht="22" customHeight="1">
      <x:c r="A106" s="8" t="d">
        <x:v>2006-04-28T00:00:00.000Z</x:v>
      </x:c>
      <x:c r="B106" s="8" t="d">
        <x:v>2006-04-03T00:00:00.000Z</x:v>
      </x:c>
      <x:c r="C106" s="2" t="str">
        <x:v>VIAV</x:v>
      </x:c>
      <x:c r="D106" s="11" t="n">
        <x:f>100*'Summary'!$C$18</x:f>
        <x:v>100000</x:v>
      </x:c>
      <x:c r="E106" s="2" t="n">
        <x:v>500</x:v>
      </x:c>
      <x:c r="F106" s="2" t="n">
        <x:v>384</x:v>
      </x:c>
      <x:c r="G106" s="9" t="n">
        <x:f>F106/E106</x:f>
        <x:v>0.768</x:v>
      </x:c>
      <x:c r="H106" s="11" t="n">
        <x:f>K106*'Summary'!$C$18</x:f>
        <x:v>201374.9363668388</x:v>
      </x:c>
      <x:c r="I106" s="11" t="n">
        <x:f>L106*'Summary'!$C$18</x:f>
        <x:v>122457.2738119171</x:v>
      </x:c>
      <x:c r="J106" s="11" t="n">
        <x:f>M106*'Summary'!$C$18</x:f>
        <x:v>0</x:v>
      </x:c>
      <x:c r="K106" s="12" t="n">
        <x:v>201.37493636683882</x:v>
      </x:c>
      <x:c r="L106" s="12" t="n">
        <x:v>122.45727381191709</x:v>
      </x:c>
      <x:c r="M106" s="12" t="n">
        <x:v>0</x:v>
      </x:c>
      <x:c r="N106" s="2" t="str">
        <x:v>2006-04</x:v>
      </x:c>
    </x:row>
    <x:row r="107" ht="22" customHeight="1">
      <x:c r="A107" s="8" t="d">
        <x:v>2006-05-31T00:00:00.000Z</x:v>
      </x:c>
      <x:c r="B107" s="8" t="d">
        <x:v>2006-05-01T00:00:00.000Z</x:v>
      </x:c>
      <x:c r="C107" s="2" t="str">
        <x:v>SANM</x:v>
      </x:c>
      <x:c r="D107" s="11" t="n">
        <x:f>101*'Summary'!$C$18</x:f>
        <x:v>101000</x:v>
      </x:c>
      <x:c r="E107" s="2" t="n">
        <x:v>500</x:v>
      </x:c>
      <x:c r="F107" s="2" t="n">
        <x:v>390</x:v>
      </x:c>
      <x:c r="G107" s="9" t="n">
        <x:f>F107/E107</x:f>
        <x:v>0.78</x:v>
      </x:c>
      <x:c r="H107" s="11" t="n">
        <x:f>K107*'Summary'!$C$18</x:f>
        <x:v>195648.834612461</x:v>
      </x:c>
      <x:c r="I107" s="11" t="n">
        <x:f>L107*'Summary'!$C$18</x:f>
        <x:v>119738.6255519821</x:v>
      </x:c>
      <x:c r="J107" s="11" t="n">
        <x:f>M107*'Summary'!$C$18</x:f>
        <x:v>0</x:v>
      </x:c>
      <x:c r="K107" s="12" t="n">
        <x:v>195.648834612461</x:v>
      </x:c>
      <x:c r="L107" s="12" t="n">
        <x:v>119.7386255519821</x:v>
      </x:c>
      <x:c r="M107" s="12" t="n">
        <x:v>0</x:v>
      </x:c>
      <x:c r="N107" s="2" t="str">
        <x:v>2006-05</x:v>
      </x:c>
    </x:row>
    <x:row r="108" ht="22" customHeight="1">
      <x:c r="A108" s="8" t="d">
        <x:v>2006-06-30T00:00:00.000Z</x:v>
      </x:c>
      <x:c r="B108" s="8" t="d">
        <x:v>2006-06-01T00:00:00.000Z</x:v>
      </x:c>
      <x:c r="C108" s="2" t="str">
        <x:v>LXK-201611</x:v>
      </x:c>
      <x:c r="D108" s="11" t="n">
        <x:f>102*'Summary'!$C$18</x:f>
        <x:v>102000</x:v>
      </x:c>
      <x:c r="E108" s="2" t="n">
        <x:v>500</x:v>
      </x:c>
      <x:c r="F108" s="2" t="n">
        <x:v>389</x:v>
      </x:c>
      <x:c r="G108" s="9" t="n">
        <x:f>F108/E108</x:f>
        <x:v>0.778</x:v>
      </x:c>
      <x:c r="H108" s="11" t="n">
        <x:f>K108*'Summary'!$C$18</x:f>
        <x:v>187821.1864249878</x:v>
      </x:c>
      <x:c r="I108" s="11" t="n">
        <x:f>L108*'Summary'!$C$18</x:f>
        <x:v>121054.5643930941</x:v>
      </x:c>
      <x:c r="J108" s="11" t="n">
        <x:f>M108*'Summary'!$C$18</x:f>
        <x:v>0</x:v>
      </x:c>
      <x:c r="K108" s="12" t="n">
        <x:v>187.8211864249878</x:v>
      </x:c>
      <x:c r="L108" s="12" t="n">
        <x:v>121.0545643930941</x:v>
      </x:c>
      <x:c r="M108" s="12" t="n">
        <x:v>0</x:v>
      </x:c>
      <x:c r="N108" s="2" t="str">
        <x:v>2006-06</x:v>
      </x:c>
    </x:row>
    <x:row r="109" ht="22" customHeight="1">
      <x:c r="A109" s="8" t="d">
        <x:v>2006-07-31T00:00:00.000Z</x:v>
      </x:c>
      <x:c r="B109" s="8" t="d">
        <x:v>2006-07-03T00:00:00.000Z</x:v>
      </x:c>
      <x:c r="C109" s="2" t="str">
        <x:v>DDS</x:v>
      </x:c>
      <x:c r="D109" s="11" t="n">
        <x:f>103*'Summary'!$C$18</x:f>
        <x:v>103000</x:v>
      </x:c>
      <x:c r="E109" s="2" t="n">
        <x:v>500</x:v>
      </x:c>
      <x:c r="F109" s="2" t="n">
        <x:v>391</x:v>
      </x:c>
      <x:c r="G109" s="9" t="n">
        <x:f>F109/E109</x:f>
        <x:v>0.782</x:v>
      </x:c>
      <x:c r="H109" s="11" t="n">
        <x:f>K109*'Summary'!$C$18</x:f>
        <x:v>185421.2886432869</x:v>
      </x:c>
      <x:c r="I109" s="11" t="n">
        <x:f>L109*'Summary'!$C$18</x:f>
        <x:v>122599.9805560081</x:v>
      </x:c>
      <x:c r="J109" s="11" t="n">
        <x:f>M109*'Summary'!$C$18</x:f>
        <x:v>0</x:v>
      </x:c>
      <x:c r="K109" s="12" t="n">
        <x:v>185.4212886432869</x:v>
      </x:c>
      <x:c r="L109" s="12" t="n">
        <x:v>122.5999805560081</x:v>
      </x:c>
      <x:c r="M109" s="12" t="n">
        <x:v>0</x:v>
      </x:c>
      <x:c r="N109" s="2" t="str">
        <x:v>2006-07</x:v>
      </x:c>
    </x:row>
    <x:row r="110" ht="22" customHeight="1">
      <x:c r="A110" s="8" t="d">
        <x:v>2006-08-31T00:00:00.000Z</x:v>
      </x:c>
      <x:c r="B110" s="8" t="d">
        <x:v>2006-08-01T00:00:00.000Z</x:v>
      </x:c>
      <x:c r="C110" s="2" t="str">
        <x:v>PTC</x:v>
      </x:c>
      <x:c r="D110" s="11" t="n">
        <x:f>104*'Summary'!$C$18</x:f>
        <x:v>104000</x:v>
      </x:c>
      <x:c r="E110" s="2" t="n">
        <x:v>500</x:v>
      </x:c>
      <x:c r="F110" s="2" t="n">
        <x:v>391</x:v>
      </x:c>
      <x:c r="G110" s="9" t="n">
        <x:f>F110/E110</x:f>
        <x:v>0.782</x:v>
      </x:c>
      <x:c r="H110" s="11" t="n">
        <x:f>K110*'Summary'!$C$18</x:f>
        <x:v>193228.6307764313</x:v>
      </x:c>
      <x:c r="I110" s="11" t="n">
        <x:f>L110*'Summary'!$C$18</x:f>
        <x:v>126301.3280868304</x:v>
      </x:c>
      <x:c r="J110" s="11" t="n">
        <x:f>M110*'Summary'!$C$18</x:f>
        <x:v>0</x:v>
      </x:c>
      <x:c r="K110" s="12" t="n">
        <x:v>193.2286307764313</x:v>
      </x:c>
      <x:c r="L110" s="12" t="n">
        <x:v>126.3013280868304</x:v>
      </x:c>
      <x:c r="M110" s="12" t="n">
        <x:v>0</x:v>
      </x:c>
      <x:c r="N110" s="2" t="str">
        <x:v>2006-08</x:v>
      </x:c>
    </x:row>
    <x:row r="111" ht="22" customHeight="1">
      <x:c r="A111" s="8" t="d">
        <x:v>2006-09-29T00:00:00.000Z</x:v>
      </x:c>
      <x:c r="B111" s="8" t="d">
        <x:v>2006-09-01T00:00:00.000Z</x:v>
      </x:c>
      <x:c r="C111" s="2" t="str">
        <x:v>PMCS-201601</x:v>
      </x:c>
      <x:c r="D111" s="11" t="n">
        <x:f>105*'Summary'!$C$18</x:f>
        <x:v>105000</x:v>
      </x:c>
      <x:c r="E111" s="2" t="n">
        <x:v>500</x:v>
      </x:c>
      <x:c r="F111" s="2" t="n">
        <x:v>392</x:v>
      </x:c>
      <x:c r="G111" s="9" t="n">
        <x:f>F111/E111</x:f>
        <x:v>0.784</x:v>
      </x:c>
      <x:c r="H111" s="11" t="n">
        <x:f>K111*'Summary'!$C$18</x:f>
        <x:v>195739.3363830338</x:v>
      </x:c>
      <x:c r="I111" s="11" t="n">
        <x:f>L111*'Summary'!$C$18</x:f>
        <x:v>130734.7492174261</x:v>
      </x:c>
      <x:c r="J111" s="11" t="n">
        <x:f>M111*'Summary'!$C$18</x:f>
        <x:v>0</x:v>
      </x:c>
      <x:c r="K111" s="12" t="n">
        <x:v>195.73933638303382</x:v>
      </x:c>
      <x:c r="L111" s="12" t="n">
        <x:v>130.7347492174261</x:v>
      </x:c>
      <x:c r="M111" s="12" t="n">
        <x:v>0</x:v>
      </x:c>
      <x:c r="N111" s="2" t="str">
        <x:v>2006-09</x:v>
      </x:c>
    </x:row>
    <x:row r="112" ht="22" customHeight="1">
      <x:c r="A112" s="8" t="d">
        <x:v>2006-10-31T00:00:00.000Z</x:v>
      </x:c>
      <x:c r="B112" s="8" t="d">
        <x:v>2006-10-02T00:00:00.000Z</x:v>
      </x:c>
      <x:c r="C112" s="2" t="str">
        <x:v>DRI</x:v>
      </x:c>
      <x:c r="D112" s="11" t="n">
        <x:f>106*'Summary'!$C$18</x:f>
        <x:v>106000</x:v>
      </x:c>
      <x:c r="E112" s="2" t="n">
        <x:v>500</x:v>
      </x:c>
      <x:c r="F112" s="2" t="n">
        <x:v>392</x:v>
      </x:c>
      <x:c r="G112" s="9" t="n">
        <x:f>F112/E112</x:f>
        <x:v>0.784</x:v>
      </x:c>
      <x:c r="H112" s="11" t="n">
        <x:f>K112*'Summary'!$C$18</x:f>
        <x:v>205873.2798687472</x:v>
      </x:c>
      <x:c r="I112" s="11" t="n">
        <x:f>L112*'Summary'!$C$18</x:f>
        <x:v>135886.8935711911</x:v>
      </x:c>
      <x:c r="J112" s="11" t="n">
        <x:f>M112*'Summary'!$C$18</x:f>
        <x:v>0</x:v>
      </x:c>
      <x:c r="K112" s="12" t="n">
        <x:v>205.8732798687472</x:v>
      </x:c>
      <x:c r="L112" s="12" t="n">
        <x:v>135.88689357119108</x:v>
      </x:c>
      <x:c r="M112" s="12" t="n">
        <x:v>0</x:v>
      </x:c>
      <x:c r="N112" s="2" t="str">
        <x:v>2006-10</x:v>
      </x:c>
    </x:row>
    <x:row r="113" ht="22" customHeight="1">
      <x:c r="A113" s="8" t="d">
        <x:v>2006-11-30T00:00:00.000Z</x:v>
      </x:c>
      <x:c r="B113" s="8" t="d">
        <x:v>2006-11-01T00:00:00.000Z</x:v>
      </x:c>
      <x:c r="C113" s="2" t="str">
        <x:v>ATI</x:v>
      </x:c>
      <x:c r="D113" s="11" t="n">
        <x:f>107*'Summary'!$C$18</x:f>
        <x:v>107000</x:v>
      </x:c>
      <x:c r="E113" s="2" t="n">
        <x:v>500</x:v>
      </x:c>
      <x:c r="F113" s="2" t="n">
        <x:v>392</x:v>
      </x:c>
      <x:c r="G113" s="9" t="n">
        <x:f>F113/E113</x:f>
        <x:v>0.784</x:v>
      </x:c>
      <x:c r="H113" s="11" t="n">
        <x:f>K113*'Summary'!$C$18</x:f>
        <x:v>220298.9153184154</x:v>
      </x:c>
      <x:c r="I113" s="11" t="n">
        <x:f>L113*'Summary'!$C$18</x:f>
        <x:v>139605.7676851653</x:v>
      </x:c>
      <x:c r="J113" s="11" t="n">
        <x:f>M113*'Summary'!$C$18</x:f>
        <x:v>0</x:v>
      </x:c>
      <x:c r="K113" s="12" t="n">
        <x:v>220.29891531841542</x:v>
      </x:c>
      <x:c r="L113" s="12" t="n">
        <x:v>139.60576768516532</x:v>
      </x:c>
      <x:c r="M113" s="12" t="n">
        <x:v>0</x:v>
      </x:c>
      <x:c r="N113" s="2" t="str">
        <x:v>2006-11</x:v>
      </x:c>
    </x:row>
    <x:row r="114" ht="22" customHeight="1">
      <x:c r="A114" s="8" t="d">
        <x:v>2006-12-29T00:00:00.000Z</x:v>
      </x:c>
      <x:c r="B114" s="8" t="d">
        <x:v>2006-12-01T00:00:00.000Z</x:v>
      </x:c>
      <x:c r="C114" s="2" t="str">
        <x:v>VIAV</x:v>
      </x:c>
      <x:c r="D114" s="11" t="n">
        <x:f>108*'Summary'!$C$18</x:f>
        <x:v>108000</x:v>
      </x:c>
      <x:c r="E114" s="2" t="n">
        <x:v>500</x:v>
      </x:c>
      <x:c r="F114" s="2" t="n">
        <x:v>397</x:v>
      </x:c>
      <x:c r="G114" s="9" t="n">
        <x:f>F114/E114</x:f>
        <x:v>0.794</x:v>
      </x:c>
      <x:c r="H114" s="11" t="n">
        <x:f>K114*'Summary'!$C$18</x:f>
        <x:v>219280.5367783954</x:v>
      </x:c>
      <x:c r="I114" s="11" t="n">
        <x:f>L114*'Summary'!$C$18</x:f>
        <x:v>142485.8379701064</x:v>
      </x:c>
      <x:c r="J114" s="11" t="n">
        <x:f>M114*'Summary'!$C$18</x:f>
        <x:v>0</x:v>
      </x:c>
      <x:c r="K114" s="12" t="n">
        <x:v>219.2805367783954</x:v>
      </x:c>
      <x:c r="L114" s="12" t="n">
        <x:v>142.4858379701064</x:v>
      </x:c>
      <x:c r="M114" s="12" t="n">
        <x:v>0</x:v>
      </x:c>
      <x:c r="N114" s="2" t="str">
        <x:v>2006-12</x:v>
      </x:c>
    </x:row>
    <x:row r="115" ht="22" customHeight="1">
      <x:c r="A115" s="8" t="d">
        <x:v>2007-01-31T00:00:00.000Z</x:v>
      </x:c>
      <x:c r="B115" s="8" t="d">
        <x:v>2007-01-03T00:00:00.000Z</x:v>
      </x:c>
      <x:c r="C115" s="2" t="str">
        <x:v>GT</x:v>
      </x:c>
      <x:c r="D115" s="11" t="n">
        <x:f>109*'Summary'!$C$18</x:f>
        <x:v>109000</x:v>
      </x:c>
      <x:c r="E115" s="2" t="n">
        <x:v>500</x:v>
      </x:c>
      <x:c r="F115" s="2" t="n">
        <x:v>400</x:v>
      </x:c>
      <x:c r="G115" s="9" t="n">
        <x:f>F115/E115</x:f>
        <x:v>0.8</x:v>
      </x:c>
      <x:c r="H115" s="11" t="n">
        <x:f>K115*'Summary'!$C$18</x:f>
        <x:v>223823.6804393362</x:v>
      </x:c>
      <x:c r="I115" s="11" t="n">
        <x:f>L115*'Summary'!$C$18</x:f>
        <x:v>145639.4101908905</x:v>
      </x:c>
      <x:c r="J115" s="11" t="n">
        <x:f>M115*'Summary'!$C$18</x:f>
        <x:v>0</x:v>
      </x:c>
      <x:c r="K115" s="12" t="n">
        <x:v>223.8236804393362</x:v>
      </x:c>
      <x:c r="L115" s="12" t="n">
        <x:v>145.63941019089052</x:v>
      </x:c>
      <x:c r="M115" s="12" t="n">
        <x:v>0</x:v>
      </x:c>
      <x:c r="N115" s="2" t="str">
        <x:v>2007-01</x:v>
      </x:c>
    </x:row>
    <x:row r="116" ht="22" customHeight="1">
      <x:c r="A116" s="8" t="d">
        <x:v>2007-02-28T00:00:00.000Z</x:v>
      </x:c>
      <x:c r="B116" s="8" t="d">
        <x:v>2007-02-01T00:00:00.000Z</x:v>
      </x:c>
      <x:c r="C116" s="2" t="str">
        <x:v>NUE</x:v>
      </x:c>
      <x:c r="D116" s="11" t="n">
        <x:f>110*'Summary'!$C$18</x:f>
        <x:v>110000</x:v>
      </x:c>
      <x:c r="E116" s="2" t="n">
        <x:v>500</x:v>
      </x:c>
      <x:c r="F116" s="2" t="n">
        <x:v>413</x:v>
      </x:c>
      <x:c r="G116" s="9" t="n">
        <x:f>F116/E116</x:f>
        <x:v>0.826</x:v>
      </x:c>
      <x:c r="H116" s="11" t="n">
        <x:f>K116*'Summary'!$C$18</x:f>
        <x:v>224418.347828423</x:v>
      </x:c>
      <x:c r="I116" s="11" t="n">
        <x:f>L116*'Summary'!$C$18</x:f>
        <x:v>143759.9996188561</x:v>
      </x:c>
      <x:c r="J116" s="11" t="n">
        <x:f>M116*'Summary'!$C$18</x:f>
        <x:v>0</x:v>
      </x:c>
      <x:c r="K116" s="12" t="n">
        <x:v>224.41834782842298</x:v>
      </x:c>
      <x:c r="L116" s="12" t="n">
        <x:v>143.75999961885609</x:v>
      </x:c>
      <x:c r="M116" s="12" t="n">
        <x:v>0</x:v>
      </x:c>
      <x:c r="N116" s="2" t="str">
        <x:v>2007-02</x:v>
      </x:c>
    </x:row>
    <x:row r="117" ht="22" customHeight="1">
      <x:c r="A117" s="8" t="d">
        <x:v>2007-03-30T00:00:00.000Z</x:v>
      </x:c>
      <x:c r="B117" s="8" t="d">
        <x:v>2007-03-01T00:00:00.000Z</x:v>
      </x:c>
      <x:c r="C117" s="2" t="str">
        <x:v>TEX</x:v>
      </x:c>
      <x:c r="D117" s="11" t="n">
        <x:f>111*'Summary'!$C$18</x:f>
        <x:v>111000</x:v>
      </x:c>
      <x:c r="E117" s="2" t="n">
        <x:v>500</x:v>
      </x:c>
      <x:c r="F117" s="2" t="n">
        <x:v>418</x:v>
      </x:c>
      <x:c r="G117" s="9" t="n">
        <x:f>F117/E117</x:f>
        <x:v>0.836</x:v>
      </x:c>
      <x:c r="H117" s="11" t="n">
        <x:f>K117*'Summary'!$C$18</x:f>
        <x:v>230935.08481528</x:v>
      </x:c>
      <x:c r="I117" s="11" t="n">
        <x:f>L117*'Summary'!$C$18</x:f>
        <x:v>146449.1560603334</x:v>
      </x:c>
      <x:c r="J117" s="11" t="n">
        <x:f>M117*'Summary'!$C$18</x:f>
        <x:v>0</x:v>
      </x:c>
      <x:c r="K117" s="12" t="n">
        <x:v>230.93508481528</x:v>
      </x:c>
      <x:c r="L117" s="12" t="n">
        <x:v>146.4491560603334</x:v>
      </x:c>
      <x:c r="M117" s="12" t="n">
        <x:v>0</x:v>
      </x:c>
      <x:c r="N117" s="2" t="str">
        <x:v>2007-03</x:v>
      </x:c>
    </x:row>
    <x:row r="118" ht="22" customHeight="1">
      <x:c r="A118" s="8" t="d">
        <x:v>2007-04-30T00:00:00.000Z</x:v>
      </x:c>
      <x:c r="B118" s="8" t="d">
        <x:v>2007-04-02T00:00:00.000Z</x:v>
      </x:c>
      <x:c r="C118" s="2" t="str">
        <x:v>GT</x:v>
      </x:c>
      <x:c r="D118" s="11" t="n">
        <x:f>112*'Summary'!$C$18</x:f>
        <x:v>112000</x:v>
      </x:c>
      <x:c r="E118" s="2" t="n">
        <x:v>500</x:v>
      </x:c>
      <x:c r="F118" s="2" t="n">
        <x:v>422</x:v>
      </x:c>
      <x:c r="G118" s="9" t="n">
        <x:f>F118/E118</x:f>
        <x:v>0.844</x:v>
      </x:c>
      <x:c r="H118" s="11" t="n">
        <x:f>K118*'Summary'!$C$18</x:f>
        <x:v>242359.8766675011</x:v>
      </x:c>
      <x:c r="I118" s="11" t="n">
        <x:f>L118*'Summary'!$C$18</x:f>
        <x:v>153979.3483040496</x:v>
      </x:c>
      <x:c r="J118" s="11" t="n">
        <x:f>M118*'Summary'!$C$18</x:f>
        <x:v>0</x:v>
      </x:c>
      <x:c r="K118" s="12" t="n">
        <x:v>242.3598766675011</x:v>
      </x:c>
      <x:c r="L118" s="12" t="n">
        <x:v>153.9793483040496</x:v>
      </x:c>
      <x:c r="M118" s="12" t="n">
        <x:v>0</x:v>
      </x:c>
      <x:c r="N118" s="2" t="str">
        <x:v>2007-04</x:v>
      </x:c>
    </x:row>
    <x:row r="119" ht="22" customHeight="1">
      <x:c r="A119" s="8" t="d">
        <x:v>2007-05-31T00:00:00.000Z</x:v>
      </x:c>
      <x:c r="B119" s="8" t="d">
        <x:v>2007-05-01T00:00:00.000Z</x:v>
      </x:c>
      <x:c r="C119" s="2" t="str">
        <x:v>AMZN</x:v>
      </x:c>
      <x:c r="D119" s="11" t="n">
        <x:f>113*'Summary'!$C$18</x:f>
        <x:v>113000</x:v>
      </x:c>
      <x:c r="E119" s="2" t="n">
        <x:v>500</x:v>
      </x:c>
      <x:c r="F119" s="2" t="n">
        <x:v>424</x:v>
      </x:c>
      <x:c r="G119" s="9" t="n">
        <x:f>F119/E119</x:f>
        <x:v>0.848</x:v>
      </x:c>
      <x:c r="H119" s="11" t="n">
        <x:f>K119*'Summary'!$C$18</x:f>
        <x:v>266258.8648701797</x:v>
      </x:c>
      <x:c r="I119" s="11" t="n">
        <x:f>L119*'Summary'!$C$18</x:f>
        <x:v>160235.3604143573</x:v>
      </x:c>
      <x:c r="J119" s="11" t="n">
        <x:f>M119*'Summary'!$C$18</x:f>
        <x:v>0</x:v>
      </x:c>
      <x:c r="K119" s="12" t="n">
        <x:v>266.25886487017965</x:v>
      </x:c>
      <x:c r="L119" s="12" t="n">
        <x:v>160.2353604143573</x:v>
      </x:c>
      <x:c r="M119" s="12" t="n">
        <x:v>0</x:v>
      </x:c>
      <x:c r="N119" s="2" t="str">
        <x:v>2007-05</x:v>
      </x:c>
    </x:row>
    <x:row r="120" ht="22" customHeight="1">
      <x:c r="A120" s="8" t="d">
        <x:v>2007-06-29T00:00:00.000Z</x:v>
      </x:c>
      <x:c r="B120" s="8" t="d">
        <x:v>2007-06-01T00:00:00.000Z</x:v>
      </x:c>
      <x:c r="C120" s="2" t="str">
        <x:v>MRO</x:v>
      </x:c>
      <x:c r="D120" s="11" t="n">
        <x:f>114*'Summary'!$C$18</x:f>
        <x:v>114000</x:v>
      </x:c>
      <x:c r="E120" s="2" t="n">
        <x:v>500</x:v>
      </x:c>
      <x:c r="F120" s="2" t="n">
        <x:v>424</x:v>
      </x:c>
      <x:c r="G120" s="9" t="n">
        <x:f>F120/E120</x:f>
        <x:v>0.848</x:v>
      </x:c>
      <x:c r="H120" s="11" t="n">
        <x:f>K120*'Summary'!$C$18</x:f>
        <x:v>262312.8607699741</x:v>
      </x:c>
      <x:c r="I120" s="11" t="n">
        <x:f>L120*'Summary'!$C$18</x:f>
        <x:v>158874.3850403587</x:v>
      </x:c>
      <x:c r="J120" s="11" t="n">
        <x:f>M120*'Summary'!$C$18</x:f>
        <x:v>0</x:v>
      </x:c>
      <x:c r="K120" s="12" t="n">
        <x:v>262.3128607699741</x:v>
      </x:c>
      <x:c r="L120" s="12" t="n">
        <x:v>158.8743850403587</x:v>
      </x:c>
      <x:c r="M120" s="12" t="n">
        <x:v>0</x:v>
      </x:c>
      <x:c r="N120" s="2" t="str">
        <x:v>2007-06</x:v>
      </x:c>
    </x:row>
    <x:row r="121" ht="22" customHeight="1">
      <x:c r="A121" s="8" t="d">
        <x:v>2007-07-31T00:00:00.000Z</x:v>
      </x:c>
      <x:c r="B121" s="8" t="d">
        <x:v>2007-07-02T00:00:00.000Z</x:v>
      </x:c>
      <x:c r="C121" s="2" t="str">
        <x:v>APOL-201702</x:v>
      </x:c>
      <x:c r="D121" s="11" t="n">
        <x:f>115*'Summary'!$C$18</x:f>
        <x:v>115000</x:v>
      </x:c>
      <x:c r="E121" s="2" t="n">
        <x:v>500</x:v>
      </x:c>
      <x:c r="F121" s="2" t="n">
        <x:v>425</x:v>
      </x:c>
      <x:c r="G121" s="9" t="n">
        <x:f>F121/E121</x:f>
        <x:v>0.85</x:v>
      </x:c>
      <x:c r="H121" s="11" t="n">
        <x:f>K121*'Summary'!$C$18</x:f>
        <x:v>257004.21315033798</x:v>
      </x:c>
      <x:c r="I121" s="11" t="n">
        <x:f>L121*'Summary'!$C$18</x:f>
        <x:v>154865.8627585495</x:v>
      </x:c>
      <x:c r="J121" s="11" t="n">
        <x:f>M121*'Summary'!$C$18</x:f>
        <x:v>0</x:v>
      </x:c>
      <x:c r="K121" s="12" t="n">
        <x:v>257.004213150338</x:v>
      </x:c>
      <x:c r="L121" s="12" t="n">
        <x:v>154.86586275854953</x:v>
      </x:c>
      <x:c r="M121" s="12" t="n">
        <x:v>0</x:v>
      </x:c>
      <x:c r="N121" s="2" t="str">
        <x:v>2007-07</x:v>
      </x:c>
    </x:row>
    <x:row r="122" ht="22" customHeight="1">
      <x:c r="A122" s="8" t="d">
        <x:v>2007-08-31T00:00:00.000Z</x:v>
      </x:c>
      <x:c r="B122" s="8" t="d">
        <x:v>2007-08-01T00:00:00.000Z</x:v>
      </x:c>
      <x:c r="C122" s="2" t="str">
        <x:v>JNPR</x:v>
      </x:c>
      <x:c r="D122" s="11" t="n">
        <x:f>116*'Summary'!$C$18</x:f>
        <x:v>116000</x:v>
      </x:c>
      <x:c r="E122" s="2" t="n">
        <x:v>500</x:v>
      </x:c>
      <x:c r="F122" s="2" t="n">
        <x:v>428</x:v>
      </x:c>
      <x:c r="G122" s="9" t="n">
        <x:f>F122/E122</x:f>
        <x:v>0.856</x:v>
      </x:c>
      <x:c r="H122" s="11" t="n">
        <x:f>K122*'Summary'!$C$18</x:f>
        <x:v>261841.55175104082</x:v>
      </x:c>
      <x:c r="I122" s="11" t="n">
        <x:f>L122*'Summary'!$C$18</x:f>
        <x:v>157869.8249646327</x:v>
      </x:c>
      <x:c r="J122" s="11" t="n">
        <x:f>M122*'Summary'!$C$18</x:f>
        <x:v>0</x:v>
      </x:c>
      <x:c r="K122" s="12" t="n">
        <x:v>261.8415517510408</x:v>
      </x:c>
      <x:c r="L122" s="12" t="n">
        <x:v>157.8698249646327</x:v>
      </x:c>
      <x:c r="M122" s="12" t="n">
        <x:v>0</x:v>
      </x:c>
      <x:c r="N122" s="2" t="str">
        <x:v>2007-08</x:v>
      </x:c>
    </x:row>
    <x:row r="123" ht="22" customHeight="1">
      <x:c r="A123" s="8" t="d">
        <x:v>2007-09-28T00:00:00.000Z</x:v>
      </x:c>
      <x:c r="B123" s="8" t="d">
        <x:v>2007-09-04T00:00:00.000Z</x:v>
      </x:c>
      <x:c r="C123" s="2" t="str">
        <x:v>WFM-201708</x:v>
      </x:c>
      <x:c r="D123" s="11" t="n">
        <x:f>117*'Summary'!$C$18</x:f>
        <x:v>117000</x:v>
      </x:c>
      <x:c r="E123" s="2" t="n">
        <x:v>500</x:v>
      </x:c>
      <x:c r="F123" s="2" t="n">
        <x:v>429</x:v>
      </x:c>
      <x:c r="G123" s="9" t="n">
        <x:f>F123/E123</x:f>
        <x:v>0.858</x:v>
      </x:c>
      <x:c r="H123" s="11" t="n">
        <x:f>K123*'Summary'!$C$18</x:f>
        <x:v>281508.6315713233</x:v>
      </x:c>
      <x:c r="I123" s="11" t="n">
        <x:f>L123*'Summary'!$C$18</x:f>
        <x:v>165021.3411791704</x:v>
      </x:c>
      <x:c r="J123" s="11" t="n">
        <x:f>M123*'Summary'!$C$18</x:f>
        <x:v>0</x:v>
      </x:c>
      <x:c r="K123" s="12" t="n">
        <x:v>281.5086315713233</x:v>
      </x:c>
      <x:c r="L123" s="12" t="n">
        <x:v>165.0213411791704</x:v>
      </x:c>
      <x:c r="M123" s="12" t="n">
        <x:v>0</x:v>
      </x:c>
      <x:c r="N123" s="2" t="str">
        <x:v>2007-09</x:v>
      </x:c>
    </x:row>
    <x:row r="124" ht="22" customHeight="1">
      <x:c r="A124" s="8" t="d">
        <x:v>2007-10-31T00:00:00.000Z</x:v>
      </x:c>
      <x:c r="B124" s="8" t="d">
        <x:v>2007-10-01T00:00:00.000Z</x:v>
      </x:c>
      <x:c r="C124" s="2" t="str">
        <x:v>GS</x:v>
      </x:c>
      <x:c r="D124" s="11" t="n">
        <x:f>118*'Summary'!$C$18</x:f>
        <x:v>118000</x:v>
      </x:c>
      <x:c r="E124" s="2" t="n">
        <x:v>500</x:v>
      </x:c>
      <x:c r="F124" s="2" t="n">
        <x:v>431</x:v>
      </x:c>
      <x:c r="G124" s="9" t="n">
        <x:f>F124/E124</x:f>
        <x:v>0.862</x:v>
      </x:c>
      <x:c r="H124" s="11" t="n">
        <x:f>K124*'Summary'!$C$18</x:f>
        <x:v>302888.8607696354</x:v>
      </x:c>
      <x:c r="I124" s="11" t="n">
        <x:f>L124*'Summary'!$C$18</x:f>
        <x:v>168273.5536700464</x:v>
      </x:c>
      <x:c r="J124" s="11" t="n">
        <x:f>M124*'Summary'!$C$18</x:f>
        <x:v>0</x:v>
      </x:c>
      <x:c r="K124" s="12" t="n">
        <x:v>302.8888607696354</x:v>
      </x:c>
      <x:c r="L124" s="12" t="n">
        <x:v>168.27355367004643</x:v>
      </x:c>
      <x:c r="M124" s="12" t="n">
        <x:v>0</x:v>
      </x:c>
      <x:c r="N124" s="2" t="str">
        <x:v>2007-10</x:v>
      </x:c>
    </x:row>
    <x:row r="125" ht="22" customHeight="1">
      <x:c r="A125" s="8" t="d">
        <x:v>2007-11-30T00:00:00.000Z</x:v>
      </x:c>
      <x:c r="B125" s="8" t="d">
        <x:v>2007-11-01T00:00:00.000Z</x:v>
      </x:c>
      <x:c r="C125" s="2" t="str">
        <x:v>AKAM</x:v>
      </x:c>
      <x:c r="D125" s="11" t="n">
        <x:f>119*'Summary'!$C$18</x:f>
        <x:v>119000</x:v>
      </x:c>
      <x:c r="E125" s="2" t="n">
        <x:v>500</x:v>
      </x:c>
      <x:c r="F125" s="2" t="n">
        <x:v>436</x:v>
      </x:c>
      <x:c r="G125" s="9" t="n">
        <x:f>F125/E125</x:f>
        <x:v>0.872</x:v>
      </x:c>
      <x:c r="H125" s="11" t="n">
        <x:f>K125*'Summary'!$C$18</x:f>
        <x:v>281647.8670353224</x:v>
      </x:c>
      <x:c r="I125" s="11" t="n">
        <x:f>L125*'Summary'!$C$18</x:f>
        <x:v>162725.6839619067</x:v>
      </x:c>
      <x:c r="J125" s="11" t="n">
        <x:f>M125*'Summary'!$C$18</x:f>
        <x:v>0</x:v>
      </x:c>
      <x:c r="K125" s="12" t="n">
        <x:v>281.6478670353224</x:v>
      </x:c>
      <x:c r="L125" s="12" t="n">
        <x:v>162.7256839619067</x:v>
      </x:c>
      <x:c r="M125" s="12" t="n">
        <x:v>0</x:v>
      </x:c>
      <x:c r="N125" s="2" t="str">
        <x:v>2007-11</x:v>
      </x:c>
    </x:row>
    <x:row r="126" ht="22" customHeight="1">
      <x:c r="A126" s="8" t="d">
        <x:v>2007-12-31T00:00:00.000Z</x:v>
      </x:c>
      <x:c r="B126" s="8" t="d">
        <x:v>2007-12-03T00:00:00.000Z</x:v>
      </x:c>
      <x:c r="C126" s="2" t="str">
        <x:v>THC</x:v>
      </x:c>
      <x:c r="D126" s="11" t="n">
        <x:f>120*'Summary'!$C$18</x:f>
        <x:v>120000</x:v>
      </x:c>
      <x:c r="E126" s="2" t="n">
        <x:v>500</x:v>
      </x:c>
      <x:c r="F126" s="2" t="n">
        <x:v>440</x:v>
      </x:c>
      <x:c r="G126" s="9" t="n">
        <x:f>F126/E126</x:f>
        <x:v>0.88</x:v>
      </x:c>
      <x:c r="H126" s="11" t="n">
        <x:f>K126*'Summary'!$C$18</x:f>
        <x:v>287211.3614110591</x:v>
      </x:c>
      <x:c r="I126" s="11" t="n">
        <x:f>L126*'Summary'!$C$18</x:f>
        <x:v>161885.1547410369</x:v>
      </x:c>
      <x:c r="J126" s="11" t="n">
        <x:f>M126*'Summary'!$C$18</x:f>
        <x:v>0</x:v>
      </x:c>
      <x:c r="K126" s="12" t="n">
        <x:v>287.2113614110591</x:v>
      </x:c>
      <x:c r="L126" s="12" t="n">
        <x:v>161.8851547410369</x:v>
      </x:c>
      <x:c r="M126" s="12" t="n">
        <x:v>0</x:v>
      </x:c>
      <x:c r="N126" s="2" t="str">
        <x:v>2007-12</x:v>
      </x:c>
    </x:row>
    <x:row r="127" ht="22" customHeight="1">
      <x:c r="A127" s="8" t="d">
        <x:v>2008-01-31T00:00:00.000Z</x:v>
      </x:c>
      <x:c r="B127" s="8" t="d">
        <x:v>2008-01-02T00:00:00.000Z</x:v>
      </x:c>
      <x:c r="C127" s="2" t="str">
        <x:v>HES</x:v>
      </x:c>
      <x:c r="D127" s="11" t="n">
        <x:f>121*'Summary'!$C$18</x:f>
        <x:v>121000</x:v>
      </x:c>
      <x:c r="E127" s="2" t="n">
        <x:v>500</x:v>
      </x:c>
      <x:c r="F127" s="2" t="n">
        <x:v>443</x:v>
      </x:c>
      <x:c r="G127" s="9" t="n">
        <x:f>F127/E127</x:f>
        <x:v>0.886</x:v>
      </x:c>
      <x:c r="H127" s="11" t="n">
        <x:f>K127*'Summary'!$C$18</x:f>
        <x:v>246807.1125637883</x:v>
      </x:c>
      <x:c r="I127" s="11" t="n">
        <x:f>L127*'Summary'!$C$18</x:f>
        <x:v>153034.8942989658</x:v>
      </x:c>
      <x:c r="J127" s="11" t="n">
        <x:f>M127*'Summary'!$C$18</x:f>
        <x:v>0</x:v>
      </x:c>
      <x:c r="K127" s="12" t="n">
        <x:v>246.8071125637883</x:v>
      </x:c>
      <x:c r="L127" s="12" t="n">
        <x:v>153.0348942989658</x:v>
      </x:c>
      <x:c r="M127" s="12" t="n">
        <x:v>0</x:v>
      </x:c>
      <x:c r="N127" s="2" t="str">
        <x:v>2008-01</x:v>
      </x:c>
    </x:row>
    <x:row r="128" ht="22" customHeight="1">
      <x:c r="A128" s="8" t="d">
        <x:v>2008-02-29T00:00:00.000Z</x:v>
      </x:c>
      <x:c r="B128" s="8" t="d">
        <x:v>2008-02-01T00:00:00.000Z</x:v>
      </x:c>
      <x:c r="C128" s="2" t="str">
        <x:v>PHM</x:v>
      </x:c>
      <x:c r="D128" s="11" t="n">
        <x:f>122*'Summary'!$C$18</x:f>
        <x:v>122000</x:v>
      </x:c>
      <x:c r="E128" s="2" t="n">
        <x:v>500</x:v>
      </x:c>
      <x:c r="F128" s="2" t="n">
        <x:v>444</x:v>
      </x:c>
      <x:c r="G128" s="9" t="n">
        <x:f>F128/E128</x:f>
        <x:v>0.888</x:v>
      </x:c>
      <x:c r="H128" s="11" t="n">
        <x:f>K128*'Summary'!$C$18</x:f>
        <x:v>244433.1633775297</x:v>
      </x:c>
      <x:c r="I128" s="11" t="n">
        <x:f>L128*'Summary'!$C$18</x:f>
        <x:v>150050.2179049587</x:v>
      </x:c>
      <x:c r="J128" s="11" t="n">
        <x:f>M128*'Summary'!$C$18</x:f>
        <x:v>0</x:v>
      </x:c>
      <x:c r="K128" s="12" t="n">
        <x:v>244.4331633775297</x:v>
      </x:c>
      <x:c r="L128" s="12" t="n">
        <x:v>150.05021790495869</x:v>
      </x:c>
      <x:c r="M128" s="12" t="n">
        <x:v>0</x:v>
      </x:c>
      <x:c r="N128" s="2" t="str">
        <x:v>2008-02</x:v>
      </x:c>
    </x:row>
    <x:row r="129" ht="22" customHeight="1">
      <x:c r="A129" s="8" t="d">
        <x:v>2008-03-31T00:00:00.000Z</x:v>
      </x:c>
      <x:c r="B129" s="8" t="d">
        <x:v>2008-03-03T00:00:00.000Z</x:v>
      </x:c>
      <x:c r="C129" s="2" t="str">
        <x:v>AABA</x:v>
      </x:c>
      <x:c r="D129" s="11" t="n">
        <x:f>123*'Summary'!$C$18</x:f>
        <x:v>123000</x:v>
      </x:c>
      <x:c r="E129" s="2" t="n">
        <x:v>500</x:v>
      </x:c>
      <x:c r="F129" s="2" t="n">
        <x:v>444</x:v>
      </x:c>
      <x:c r="G129" s="9" t="n">
        <x:f>F129/E129</x:f>
        <x:v>0.888</x:v>
      </x:c>
      <x:c r="H129" s="11" t="n">
        <x:f>K129*'Summary'!$C$18</x:f>
        <x:v>244958.5569129217</x:v>
      </x:c>
      <x:c r="I129" s="11" t="n">
        <x:f>L129*'Summary'!$C$18</x:f>
        <x:v>149704.5428564505</x:v>
      </x:c>
      <x:c r="J129" s="11" t="n">
        <x:f>M129*'Summary'!$C$18</x:f>
        <x:v>0</x:v>
      </x:c>
      <x:c r="K129" s="12" t="n">
        <x:v>244.9585569129217</x:v>
      </x:c>
      <x:c r="L129" s="12" t="n">
        <x:v>149.7045428564505</x:v>
      </x:c>
      <x:c r="M129" s="12" t="n">
        <x:v>0</x:v>
      </x:c>
      <x:c r="N129" s="2" t="str">
        <x:v>2008-03</x:v>
      </x:c>
    </x:row>
    <x:row r="130" ht="22" customHeight="1">
      <x:c r="A130" s="8" t="d">
        <x:v>2008-04-30T00:00:00.000Z</x:v>
      </x:c>
      <x:c r="B130" s="8" t="d">
        <x:v>2008-04-01T00:00:00.000Z</x:v>
      </x:c>
      <x:c r="C130" s="2" t="str">
        <x:v>BIG</x:v>
      </x:c>
      <x:c r="D130" s="11" t="n">
        <x:f>124*'Summary'!$C$18</x:f>
        <x:v>124000</x:v>
      </x:c>
      <x:c r="E130" s="2" t="n">
        <x:v>500</x:v>
      </x:c>
      <x:c r="F130" s="2" t="n">
        <x:v>445</x:v>
      </x:c>
      <x:c r="G130" s="9" t="n">
        <x:f>F130/E130</x:f>
        <x:v>0.89</x:v>
      </x:c>
      <x:c r="H130" s="11" t="n">
        <x:f>K130*'Summary'!$C$18</x:f>
        <x:v>262174.3864949856</x:v>
      </x:c>
      <x:c r="I130" s="11" t="n">
        <x:f>L130*'Summary'!$C$18</x:f>
        <x:v>157874.6078572625</x:v>
      </x:c>
      <x:c r="J130" s="11" t="n">
        <x:f>M130*'Summary'!$C$18</x:f>
        <x:v>0</x:v>
      </x:c>
      <x:c r="K130" s="12" t="n">
        <x:v>262.1743864949856</x:v>
      </x:c>
      <x:c r="L130" s="12" t="n">
        <x:v>157.8746078572625</x:v>
      </x:c>
      <x:c r="M130" s="12" t="n">
        <x:v>0</x:v>
      </x:c>
      <x:c r="N130" s="2" t="str">
        <x:v>2008-04</x:v>
      </x:c>
    </x:row>
    <x:row r="131" ht="22" customHeight="1">
      <x:c r="A131" s="8" t="d">
        <x:v>2008-05-30T00:00:00.000Z</x:v>
      </x:c>
      <x:c r="B131" s="8" t="d">
        <x:v>2008-05-01T00:00:00.000Z</x:v>
      </x:c>
      <x:c r="C131" s="2" t="str">
        <x:v>F</x:v>
      </x:c>
      <x:c r="D131" s="11" t="n">
        <x:f>125*'Summary'!$C$18</x:f>
        <x:v>125000</x:v>
      </x:c>
      <x:c r="E131" s="2" t="n">
        <x:v>500</x:v>
      </x:c>
      <x:c r="F131" s="2" t="n">
        <x:v>446</x:v>
      </x:c>
      <x:c r="G131" s="9" t="n">
        <x:f>F131/E131</x:f>
        <x:v>0.892</x:v>
      </x:c>
      <x:c r="H131" s="11" t="n">
        <x:f>K131*'Summary'!$C$18</x:f>
        <x:v>281578.8277549756</x:v>
      </x:c>
      <x:c r="I131" s="11" t="n">
        <x:f>L131*'Summary'!$C$18</x:f>
        <x:v>161275.3605493053</x:v>
      </x:c>
      <x:c r="J131" s="11" t="n">
        <x:f>M131*'Summary'!$C$18</x:f>
        <x:v>0</x:v>
      </x:c>
      <x:c r="K131" s="12" t="n">
        <x:v>281.5788277549756</x:v>
      </x:c>
      <x:c r="L131" s="12" t="n">
        <x:v>161.2753605493053</x:v>
      </x:c>
      <x:c r="M131" s="12" t="n">
        <x:v>0</x:v>
      </x:c>
      <x:c r="N131" s="2" t="str">
        <x:v>2008-05</x:v>
      </x:c>
    </x:row>
    <x:row r="132" ht="22" customHeight="1">
      <x:c r="A132" s="8" t="d">
        <x:v>2008-06-30T00:00:00.000Z</x:v>
      </x:c>
      <x:c r="B132" s="8" t="d">
        <x:v>2008-06-02T00:00:00.000Z</x:v>
      </x:c>
      <x:c r="C132" s="2" t="str">
        <x:v>CPWR-201412</x:v>
      </x:c>
      <x:c r="D132" s="11" t="n">
        <x:f>126*'Summary'!$C$18</x:f>
        <x:v>126000</x:v>
      </x:c>
      <x:c r="E132" s="2" t="n">
        <x:v>500</x:v>
      </x:c>
      <x:c r="F132" s="2" t="n">
        <x:v>446</x:v>
      </x:c>
      <x:c r="G132" s="9" t="n">
        <x:f>F132/E132</x:f>
        <x:v>0.892</x:v>
      </x:c>
      <x:c r="H132" s="11" t="n">
        <x:f>K132*'Summary'!$C$18</x:f>
        <x:v>257518.05936886882</x:v>
      </x:c>
      <x:c r="I132" s="11" t="n">
        <x:f>L132*'Summary'!$C$18</x:f>
        <x:v>148716.4705820209</x:v>
      </x:c>
      <x:c r="J132" s="11" t="n">
        <x:f>M132*'Summary'!$C$18</x:f>
        <x:v>0</x:v>
      </x:c>
      <x:c r="K132" s="12" t="n">
        <x:v>257.5180593688688</x:v>
      </x:c>
      <x:c r="L132" s="12" t="n">
        <x:v>148.71647058202092</x:v>
      </x:c>
      <x:c r="M132" s="12" t="n">
        <x:v>0</x:v>
      </x:c>
      <x:c r="N132" s="2" t="str">
        <x:v>2008-06</x:v>
      </x:c>
    </x:row>
    <x:row r="133" ht="22" customHeight="1">
      <x:c r="A133" s="8" t="d">
        <x:v>2008-07-31T00:00:00.000Z</x:v>
      </x:c>
      <x:c r="B133" s="8" t="d">
        <x:v>2008-07-01T00:00:00.000Z</x:v>
      </x:c>
      <x:c r="C133" s="2" t="str">
        <x:v>JBL</x:v>
      </x:c>
      <x:c r="D133" s="11" t="n">
        <x:f>127*'Summary'!$C$18</x:f>
        <x:v>127000</x:v>
      </x:c>
      <x:c r="E133" s="2" t="n">
        <x:v>500</x:v>
      </x:c>
      <x:c r="F133" s="2" t="n">
        <x:v>448</x:v>
      </x:c>
      <x:c r="G133" s="9" t="n">
        <x:f>F133/E133</x:f>
        <x:v>0.896</x:v>
      </x:c>
      <x:c r="H133" s="11" t="n">
        <x:f>K133*'Summary'!$C$18</x:f>
        <x:v>236389.1683438109</x:v>
      </x:c>
      <x:c r="I133" s="11" t="n">
        <x:f>L133*'Summary'!$C$18</x:f>
        <x:v>148382.5857480797</x:v>
      </x:c>
      <x:c r="J133" s="11" t="n">
        <x:f>M133*'Summary'!$C$18</x:f>
        <x:v>0</x:v>
      </x:c>
      <x:c r="K133" s="12" t="n">
        <x:v>236.3891683438109</x:v>
      </x:c>
      <x:c r="L133" s="12" t="n">
        <x:v>148.3825857480797</x:v>
      </x:c>
      <x:c r="M133" s="12" t="n">
        <x:v>0</x:v>
      </x:c>
      <x:c r="N133" s="2" t="str">
        <x:v>2008-07</x:v>
      </x:c>
    </x:row>
    <x:row r="134" ht="22" customHeight="1">
      <x:c r="A134" s="8" t="d">
        <x:v>2008-08-29T00:00:00.000Z</x:v>
      </x:c>
      <x:c r="B134" s="8" t="d">
        <x:v>2008-08-01T00:00:00.000Z</x:v>
      </x:c>
      <x:c r="C134" s="2" t="str">
        <x:v>ROH-200904</x:v>
      </x:c>
      <x:c r="D134" s="11" t="n">
        <x:f>128*'Summary'!$C$18</x:f>
        <x:v>128000</x:v>
      </x:c>
      <x:c r="E134" s="2" t="n">
        <x:v>500</x:v>
      </x:c>
      <x:c r="F134" s="2" t="n">
        <x:v>449</x:v>
      </x:c>
      <x:c r="G134" s="9" t="n">
        <x:f>F134/E134</x:f>
        <x:v>0.898</x:v>
      </x:c>
      <x:c r="H134" s="11" t="n">
        <x:f>K134*'Summary'!$C$18</x:f>
        <x:v>231553.8294560618</x:v>
      </x:c>
      <x:c r="I134" s="11" t="n">
        <x:f>L134*'Summary'!$C$18</x:f>
        <x:v>151688.7812592624</x:v>
      </x:c>
      <x:c r="J134" s="11" t="n">
        <x:f>M134*'Summary'!$C$18</x:f>
        <x:v>0</x:v>
      </x:c>
      <x:c r="K134" s="12" t="n">
        <x:v>231.5538294560618</x:v>
      </x:c>
      <x:c r="L134" s="12" t="n">
        <x:v>151.6887812592624</x:v>
      </x:c>
      <x:c r="M134" s="12" t="n">
        <x:v>0</x:v>
      </x:c>
      <x:c r="N134" s="2" t="str">
        <x:v>2008-08</x:v>
      </x:c>
    </x:row>
    <x:row r="135" ht="22" customHeight="1">
      <x:c r="A135" s="8" t="d">
        <x:v>2008-09-30T00:00:00.000Z</x:v>
      </x:c>
      <x:c r="B135" s="8" t="d">
        <x:v>2008-09-02T00:00:00.000Z</x:v>
      </x:c>
      <x:c r="C135" s="2" t="str">
        <x:v>MBI</x:v>
      </x:c>
      <x:c r="D135" s="11" t="n">
        <x:f>129*'Summary'!$C$18</x:f>
        <x:v>129000</x:v>
      </x:c>
      <x:c r="E135" s="2" t="n">
        <x:v>500</x:v>
      </x:c>
      <x:c r="F135" s="2" t="n">
        <x:v>450</x:v>
      </x:c>
      <x:c r="G135" s="9" t="n">
        <x:f>F135/E135</x:f>
        <x:v>0.9</x:v>
      </x:c>
      <x:c r="H135" s="11" t="n">
        <x:f>K135*'Summary'!$C$18</x:f>
        <x:v>181828.678811985</x:v>
      </x:c>
      <x:c r="I135" s="11" t="n">
        <x:f>L135*'Summary'!$C$18</x:f>
        <x:v>138300.8971812598</x:v>
      </x:c>
      <x:c r="J135" s="11" t="n">
        <x:f>M135*'Summary'!$C$18</x:f>
        <x:v>0</x:v>
      </x:c>
      <x:c r="K135" s="12" t="n">
        <x:v>181.82867881198501</x:v>
      </x:c>
      <x:c r="L135" s="12" t="n">
        <x:v>138.30089718125978</x:v>
      </x:c>
      <x:c r="M135" s="12" t="n">
        <x:v>0</x:v>
      </x:c>
      <x:c r="N135" s="2" t="str">
        <x:v>2008-09</x:v>
      </x:c>
    </x:row>
    <x:row r="136" ht="22" customHeight="1">
      <x:c r="A136" s="8" t="d">
        <x:v>2008-10-31T00:00:00.000Z</x:v>
      </x:c>
      <x:c r="B136" s="8" t="d">
        <x:v>2008-10-01T00:00:00.000Z</x:v>
      </x:c>
      <x:c r="C136" s="2" t="str">
        <x:v>ZION</x:v>
      </x:c>
      <x:c r="D136" s="11" t="n">
        <x:f>130*'Summary'!$C$18</x:f>
        <x:v>130000</x:v>
      </x:c>
      <x:c r="E136" s="2" t="n">
        <x:v>499</x:v>
      </x:c>
      <x:c r="F136" s="2" t="n">
        <x:v>453</x:v>
      </x:c>
      <x:c r="G136" s="9" t="n">
        <x:f>F136/E136</x:f>
        <x:v>0.9078156312625251</x:v>
      </x:c>
      <x:c r="H136" s="11" t="n">
        <x:f>K136*'Summary'!$C$18</x:f>
        <x:v>144403.2609642458</x:v>
      </x:c>
      <x:c r="I136" s="11" t="n">
        <x:f>L136*'Summary'!$C$18</x:f>
        <x:v>116295.4668386441</x:v>
      </x:c>
      <x:c r="J136" s="11" t="n">
        <x:f>M136*'Summary'!$C$18</x:f>
        <x:v>0</x:v>
      </x:c>
      <x:c r="K136" s="12" t="n">
        <x:v>144.4032609642458</x:v>
      </x:c>
      <x:c r="L136" s="12" t="n">
        <x:v>116.2954668386441</x:v>
      </x:c>
      <x:c r="M136" s="12" t="n">
        <x:v>0</x:v>
      </x:c>
      <x:c r="N136" s="2" t="str">
        <x:v>2008-10</x:v>
      </x:c>
    </x:row>
    <x:row r="137" ht="22" customHeight="1">
      <x:c r="A137" s="8" t="d">
        <x:v>2008-11-28T00:00:00.000Z</x:v>
      </x:c>
      <x:c r="B137" s="8" t="d">
        <x:v>2008-11-03T00:00:00.000Z</x:v>
      </x:c>
      <x:c r="C137" s="2" t="str">
        <x:v>FHN</x:v>
      </x:c>
      <x:c r="D137" s="11" t="n">
        <x:f>131*'Summary'!$C$18</x:f>
        <x:v>131000</x:v>
      </x:c>
      <x:c r="E137" s="2" t="n">
        <x:v>500</x:v>
      </x:c>
      <x:c r="F137" s="2" t="n">
        <x:v>455</x:v>
      </x:c>
      <x:c r="G137" s="9" t="n">
        <x:f>F137/E137</x:f>
        <x:v>0.91</x:v>
      </x:c>
      <x:c r="H137" s="11" t="n">
        <x:f>K137*'Summary'!$C$18</x:f>
        <x:v>126122.0811661761</x:v>
      </x:c>
      <x:c r="I137" s="11" t="n">
        <x:f>L137*'Summary'!$C$18</x:f>
        <x:v>109131.4109744367</x:v>
      </x:c>
      <x:c r="J137" s="11" t="n">
        <x:f>M137*'Summary'!$C$18</x:f>
        <x:v>0</x:v>
      </x:c>
      <x:c r="K137" s="12" t="n">
        <x:v>126.1220811661761</x:v>
      </x:c>
      <x:c r="L137" s="12" t="n">
        <x:v>109.1314109744367</x:v>
      </x:c>
      <x:c r="M137" s="12" t="n">
        <x:v>0</x:v>
      </x:c>
      <x:c r="N137" s="2" t="str">
        <x:v>2008-11</x:v>
      </x:c>
    </x:row>
    <x:row r="138" ht="22" customHeight="1">
      <x:c r="A138" s="8" t="d">
        <x:v>2008-12-31T00:00:00.000Z</x:v>
      </x:c>
      <x:c r="B138" s="8" t="d">
        <x:v>2008-12-01T00:00:00.000Z</x:v>
      </x:c>
      <x:c r="C138" s="2" t="str">
        <x:v>ADM</x:v>
      </x:c>
      <x:c r="D138" s="11" t="n">
        <x:f>132*'Summary'!$C$18</x:f>
        <x:v>132000</x:v>
      </x:c>
      <x:c r="E138" s="2" t="n">
        <x:v>500</x:v>
      </x:c>
      <x:c r="F138" s="2" t="n">
        <x:v>455</x:v>
      </x:c>
      <x:c r="G138" s="9" t="n">
        <x:f>F138/E138</x:f>
        <x:v>0.91</x:v>
      </x:c>
      <x:c r="H138" s="11" t="n">
        <x:f>K138*'Summary'!$C$18</x:f>
        <x:v>130131.07516056788</x:v>
      </x:c>
      <x:c r="I138" s="11" t="n">
        <x:f>L138*'Summary'!$C$18</x:f>
        <x:v>111240.0641800243</x:v>
      </x:c>
      <x:c r="J138" s="11" t="n">
        <x:f>M138*'Summary'!$C$18</x:f>
        <x:v>0</x:v>
      </x:c>
      <x:c r="K138" s="12" t="n">
        <x:v>130.1310751605679</x:v>
      </x:c>
      <x:c r="L138" s="12" t="n">
        <x:v>111.2400641800243</x:v>
      </x:c>
      <x:c r="M138" s="12" t="n">
        <x:v>0</x:v>
      </x:c>
      <x:c r="N138" s="2" t="str">
        <x:v>2008-12</x:v>
      </x:c>
    </x:row>
    <x:row r="139" ht="22" customHeight="1">
      <x:c r="A139" s="8" t="d">
        <x:v>2009-01-30T00:00:00.000Z</x:v>
      </x:c>
      <x:c r="B139" s="8" t="d">
        <x:v>2009-01-02T00:00:00.000Z</x:v>
      </x:c>
      <x:c r="C139" s="2" t="str">
        <x:v>GNW</x:v>
      </x:c>
      <x:c r="D139" s="11" t="n">
        <x:f>133*'Summary'!$C$18</x:f>
        <x:v>133000</x:v>
      </x:c>
      <x:c r="E139" s="2" t="n">
        <x:v>500</x:v>
      </x:c>
      <x:c r="F139" s="2" t="n">
        <x:v>456</x:v>
      </x:c>
      <x:c r="G139" s="9" t="n">
        <x:f>F139/E139</x:f>
        <x:v>0.912</x:v>
      </x:c>
      <x:c r="H139" s="11" t="n">
        <x:f>K139*'Summary'!$C$18</x:f>
        <x:v>127238.8923240557</x:v>
      </x:c>
      <x:c r="I139" s="11" t="n">
        <x:f>L139*'Summary'!$C$18</x:f>
        <x:v>103021.5177999491</x:v>
      </x:c>
      <x:c r="J139" s="11" t="n">
        <x:f>M139*'Summary'!$C$18</x:f>
        <x:v>0</x:v>
      </x:c>
      <x:c r="K139" s="12" t="n">
        <x:v>127.23889232405571</x:v>
      </x:c>
      <x:c r="L139" s="12" t="n">
        <x:v>103.0215177999491</x:v>
      </x:c>
      <x:c r="M139" s="12" t="n">
        <x:v>0</x:v>
      </x:c>
      <x:c r="N139" s="2" t="str">
        <x:v>2009-01</x:v>
      </x:c>
    </x:row>
    <x:row r="140" ht="22" customHeight="1">
      <x:c r="A140" s="8" t="d">
        <x:v>2009-02-27T00:00:00.000Z</x:v>
      </x:c>
      <x:c r="B140" s="8" t="d">
        <x:v>2009-02-02T00:00:00.000Z</x:v>
      </x:c>
      <x:c r="C140" s="2" t="str">
        <x:v>MU</x:v>
      </x:c>
      <x:c r="D140" s="11" t="n">
        <x:f>134*'Summary'!$C$18</x:f>
        <x:v>134000</x:v>
      </x:c>
      <x:c r="E140" s="2" t="n">
        <x:v>500</x:v>
      </x:c>
      <x:c r="F140" s="2" t="n">
        <x:v>459</x:v>
      </x:c>
      <x:c r="G140" s="9" t="n">
        <x:f>F140/E140</x:f>
        <x:v>0.918</x:v>
      </x:c>
      <x:c r="H140" s="11" t="n">
        <x:f>K140*'Summary'!$C$18</x:f>
        <x:v>117830.9050618994</x:v>
      </x:c>
      <x:c r="I140" s="11" t="n">
        <x:f>L140*'Summary'!$C$18</x:f>
        <x:v>92858.2960355991</x:v>
      </x:c>
      <x:c r="J140" s="11" t="n">
        <x:f>M140*'Summary'!$C$18</x:f>
        <x:v>0</x:v>
      </x:c>
      <x:c r="K140" s="12" t="n">
        <x:v>117.83090506189939</x:v>
      </x:c>
      <x:c r="L140" s="12" t="n">
        <x:v>92.8582960355991</x:v>
      </x:c>
      <x:c r="M140" s="12" t="n">
        <x:v>0</x:v>
      </x:c>
      <x:c r="N140" s="2" t="str">
        <x:v>2009-02</x:v>
      </x:c>
    </x:row>
    <x:row r="141" ht="22" customHeight="1">
      <x:c r="A141" s="8" t="d">
        <x:v>2009-03-31T00:00:00.000Z</x:v>
      </x:c>
      <x:c r="B141" s="8" t="d">
        <x:v>2009-03-02T00:00:00.000Z</x:v>
      </x:c>
      <x:c r="C141" s="2" t="str">
        <x:v>DHI</x:v>
      </x:c>
      <x:c r="D141" s="11" t="n">
        <x:f>135*'Summary'!$C$18</x:f>
        <x:v>135000</x:v>
      </x:c>
      <x:c r="E141" s="2" t="n">
        <x:v>500</x:v>
      </x:c>
      <x:c r="F141" s="2" t="n">
        <x:v>459</x:v>
      </x:c>
      <x:c r="G141" s="9" t="n">
        <x:f>F141/E141</x:f>
        <x:v>0.918</x:v>
      </x:c>
      <x:c r="H141" s="11" t="n">
        <x:f>K141*'Summary'!$C$18</x:f>
        <x:v>133960.9750574889</x:v>
      </x:c>
      <x:c r="I141" s="11" t="n">
        <x:f>L141*'Summary'!$C$18</x:f>
        <x:v>101698.7629095589</x:v>
      </x:c>
      <x:c r="J141" s="11" t="n">
        <x:f>M141*'Summary'!$C$18</x:f>
        <x:v>0</x:v>
      </x:c>
      <x:c r="K141" s="12" t="n">
        <x:v>133.9609750574889</x:v>
      </x:c>
      <x:c r="L141" s="12" t="n">
        <x:v>101.69876290955891</x:v>
      </x:c>
      <x:c r="M141" s="12" t="n">
        <x:v>0</x:v>
      </x:c>
      <x:c r="N141" s="2" t="str">
        <x:v>2009-03</x:v>
      </x:c>
    </x:row>
    <x:row r="142" ht="22" customHeight="1">
      <x:c r="A142" s="8" t="d">
        <x:v>2009-04-30T00:00:00.000Z</x:v>
      </x:c>
      <x:c r="B142" s="8" t="d">
        <x:v>2009-04-01T00:00:00.000Z</x:v>
      </x:c>
      <x:c r="C142" s="2" t="str">
        <x:v>AIG</x:v>
      </x:c>
      <x:c r="D142" s="11" t="n">
        <x:f>136*'Summary'!$C$18</x:f>
        <x:v>136000</x:v>
      </x:c>
      <x:c r="E142" s="2" t="n">
        <x:v>500</x:v>
      </x:c>
      <x:c r="F142" s="2" t="n">
        <x:v>459</x:v>
      </x:c>
      <x:c r="G142" s="9" t="n">
        <x:f>F142/E142</x:f>
        <x:v>0.918</x:v>
      </x:c>
      <x:c r="H142" s="11" t="n">
        <x:f>K142*'Summary'!$C$18</x:f>
        <x:v>157999.9628565887</x:v>
      </x:c>
      <x:c r="I142" s="11" t="n">
        <x:f>L142*'Summary'!$C$18</x:f>
        <x:v>112915.3435017109</x:v>
      </x:c>
      <x:c r="J142" s="11" t="n">
        <x:f>M142*'Summary'!$C$18</x:f>
        <x:v>1000</x:v>
      </x:c>
      <x:c r="K142" s="12" t="n">
        <x:v>157.99996285658872</x:v>
      </x:c>
      <x:c r="L142" s="12" t="n">
        <x:v>112.91534350171091</x:v>
      </x:c>
      <x:c r="M142" s="12" t="n">
        <x:v>1</x:v>
      </x:c>
      <x:c r="N142" s="2" t="str">
        <x:v>2009-04</x:v>
      </x:c>
    </x:row>
    <x:row r="143" ht="22" customHeight="1">
      <x:c r="A143" s="8" t="d">
        <x:v>2009-05-29T00:00:00.000Z</x:v>
      </x:c>
      <x:c r="B143" s="8" t="d">
        <x:v>2009-05-01T00:00:00.000Z</x:v>
      </x:c>
      <x:c r="C143" s="2" t="str">
        <x:v>WYND</x:v>
      </x:c>
      <x:c r="D143" s="11" t="n">
        <x:f>137*'Summary'!$C$18</x:f>
        <x:v>137000</x:v>
      </x:c>
      <x:c r="E143" s="2" t="n">
        <x:v>500</x:v>
      </x:c>
      <x:c r="F143" s="2" t="n">
        <x:v>459</x:v>
      </x:c>
      <x:c r="G143" s="9" t="n">
        <x:f>F143/E143</x:f>
        <x:v>0.918</x:v>
      </x:c>
      <x:c r="H143" s="11" t="n">
        <x:f>K143*'Summary'!$C$18</x:f>
        <x:v>173268.7131274369</x:v>
      </x:c>
      <x:c r="I143" s="11" t="n">
        <x:f>L143*'Summary'!$C$18</x:f>
        <x:v>120573.8463417448</x:v>
      </x:c>
      <x:c r="J143" s="11" t="n">
        <x:f>M143*'Summary'!$C$18</x:f>
        <x:v>1000</x:v>
      </x:c>
      <x:c r="K143" s="12" t="n">
        <x:v>173.2687131274369</x:v>
      </x:c>
      <x:c r="L143" s="12" t="n">
        <x:v>120.5738463417448</x:v>
      </x:c>
      <x:c r="M143" s="12" t="n">
        <x:v>1</x:v>
      </x:c>
      <x:c r="N143" s="2" t="str">
        <x:v>2009-05</x:v>
      </x:c>
    </x:row>
    <x:row r="144" ht="22" customHeight="1">
      <x:c r="A144" s="8" t="d">
        <x:v>2009-06-30T00:00:00.000Z</x:v>
      </x:c>
      <x:c r="B144" s="8" t="d">
        <x:v>2009-06-01T00:00:00.000Z</x:v>
      </x:c>
      <x:c r="C144" s="2" t="str">
        <x:v>GNW</x:v>
      </x:c>
      <x:c r="D144" s="11" t="n">
        <x:f>138*'Summary'!$C$18</x:f>
        <x:v>138000</x:v>
      </x:c>
      <x:c r="E144" s="2" t="n">
        <x:v>500</x:v>
      </x:c>
      <x:c r="F144" s="2" t="n">
        <x:v>459</x:v>
      </x:c>
      <x:c r="G144" s="9" t="n">
        <x:f>F144/E144</x:f>
        <x:v>0.918</x:v>
      </x:c>
      <x:c r="H144" s="11" t="n">
        <x:f>K144*'Summary'!$C$18</x:f>
        <x:v>175311.6468459087</x:v>
      </x:c>
      <x:c r="I144" s="11" t="n">
        <x:f>L144*'Summary'!$C$18</x:f>
        <x:v>121482.0611830698</x:v>
      </x:c>
      <x:c r="J144" s="11" t="n">
        <x:f>M144*'Summary'!$C$18</x:f>
        <x:v>1000</x:v>
      </x:c>
      <x:c r="K144" s="12" t="n">
        <x:v>175.31164684590868</x:v>
      </x:c>
      <x:c r="L144" s="12" t="n">
        <x:v>121.4820611830698</x:v>
      </x:c>
      <x:c r="M144" s="12" t="n">
        <x:v>1</x:v>
      </x:c>
      <x:c r="N144" s="2" t="str">
        <x:v>2009-06</x:v>
      </x:c>
    </x:row>
    <x:row r="145" ht="22" customHeight="1">
      <x:c r="A145" s="8" t="d">
        <x:v>2009-07-31T00:00:00.000Z</x:v>
      </x:c>
      <x:c r="B145" s="8" t="d">
        <x:v>2009-07-01T00:00:00.000Z</x:v>
      </x:c>
      <x:c r="C145" s="2" t="str">
        <x:v>SLM</x:v>
      </x:c>
      <x:c r="D145" s="11" t="n">
        <x:f>139*'Summary'!$C$18</x:f>
        <x:v>139000</x:v>
      </x:c>
      <x:c r="E145" s="2" t="n">
        <x:v>500</x:v>
      </x:c>
      <x:c r="F145" s="2" t="n">
        <x:v>460</x:v>
      </x:c>
      <x:c r="G145" s="9" t="n">
        <x:f>F145/E145</x:f>
        <x:v>0.92</x:v>
      </x:c>
      <x:c r="H145" s="11" t="n">
        <x:f>K145*'Summary'!$C$18</x:f>
        <x:v>188165.6246092919</x:v>
      </x:c>
      <x:c r="I145" s="11" t="n">
        <x:f>L145*'Summary'!$C$18</x:f>
        <x:v>131615.391436588</x:v>
      </x:c>
      <x:c r="J145" s="11" t="n">
        <x:f>M145*'Summary'!$C$18</x:f>
        <x:v>1000</x:v>
      </x:c>
      <x:c r="K145" s="12" t="n">
        <x:v>188.1656246092919</x:v>
      </x:c>
      <x:c r="L145" s="12" t="n">
        <x:v>131.615391436588</x:v>
      </x:c>
      <x:c r="M145" s="12" t="n">
        <x:v>1</x:v>
      </x:c>
      <x:c r="N145" s="2" t="str">
        <x:v>2009-07</x:v>
      </x:c>
    </x:row>
    <x:row r="146" ht="22" customHeight="1">
      <x:c r="A146" s="8" t="d">
        <x:v>2009-08-31T00:00:00.000Z</x:v>
      </x:c>
      <x:c r="B146" s="8" t="d">
        <x:v>2009-08-03T00:00:00.000Z</x:v>
      </x:c>
      <x:c r="C146" s="2" t="str">
        <x:v>TGNA</x:v>
      </x:c>
      <x:c r="D146" s="11" t="n">
        <x:f>140*'Summary'!$C$18</x:f>
        <x:v>140000</x:v>
      </x:c>
      <x:c r="E146" s="2" t="n">
        <x:v>500</x:v>
      </x:c>
      <x:c r="F146" s="2" t="n">
        <x:v>462</x:v>
      </x:c>
      <x:c r="G146" s="9" t="n">
        <x:f>F146/E146</x:f>
        <x:v>0.924</x:v>
      </x:c>
      <x:c r="H146" s="11" t="n">
        <x:f>K146*'Summary'!$C$18</x:f>
        <x:v>205436.9160722522</x:v>
      </x:c>
      <x:c r="I146" s="11" t="n">
        <x:f>L146*'Summary'!$C$18</x:f>
        <x:v>137503.3502191376</x:v>
      </x:c>
      <x:c r="J146" s="11" t="n">
        <x:f>M146*'Summary'!$C$18</x:f>
        <x:v>1000</x:v>
      </x:c>
      <x:c r="K146" s="12" t="n">
        <x:v>205.43691607225222</x:v>
      </x:c>
      <x:c r="L146" s="12" t="n">
        <x:v>137.5033502191376</x:v>
      </x:c>
      <x:c r="M146" s="12" t="n">
        <x:v>1</x:v>
      </x:c>
      <x:c r="N146" s="2" t="str">
        <x:v>2009-08</x:v>
      </x:c>
    </x:row>
    <x:row r="147" ht="22" customHeight="1">
      <x:c r="A147" s="8" t="d">
        <x:v>2009-09-30T00:00:00.000Z</x:v>
      </x:c>
      <x:c r="B147" s="8" t="d">
        <x:v>2009-09-01T00:00:00.000Z</x:v>
      </x:c>
      <x:c r="C147" s="2" t="str">
        <x:v>AIG</x:v>
      </x:c>
      <x:c r="D147" s="11" t="n">
        <x:f>141*'Summary'!$C$18</x:f>
        <x:v>141000</x:v>
      </x:c>
      <x:c r="E147" s="2" t="n">
        <x:v>500</x:v>
      </x:c>
      <x:c r="F147" s="2" t="n">
        <x:v>463</x:v>
      </x:c>
      <x:c r="G147" s="9" t="n">
        <x:f>F147/E147</x:f>
        <x:v>0.926</x:v>
      </x:c>
      <x:c r="H147" s="11" t="n">
        <x:f>K147*'Summary'!$C$18</x:f>
        <x:v>220843.0584089853</x:v>
      </x:c>
      <x:c r="I147" s="11" t="n">
        <x:f>L147*'Summary'!$C$18</x:f>
        <x:v>143419.4630374532</x:v>
      </x:c>
      <x:c r="J147" s="11" t="n">
        <x:f>M147*'Summary'!$C$18</x:f>
        <x:v>1000</x:v>
      </x:c>
      <x:c r="K147" s="12" t="n">
        <x:v>220.84305840898529</x:v>
      </x:c>
      <x:c r="L147" s="12" t="n">
        <x:v>143.41946303745323</x:v>
      </x:c>
      <x:c r="M147" s="12" t="n">
        <x:v>1</x:v>
      </x:c>
      <x:c r="N147" s="2" t="str">
        <x:v>2009-09</x:v>
      </x:c>
    </x:row>
    <x:row r="148" ht="22" customHeight="1">
      <x:c r="A148" s="8" t="d">
        <x:v>2009-10-30T00:00:00.000Z</x:v>
      </x:c>
      <x:c r="B148" s="8" t="d">
        <x:v>2009-10-01T00:00:00.000Z</x:v>
      </x:c>
      <x:c r="C148" s="2" t="str">
        <x:v>TGNA</x:v>
      </x:c>
      <x:c r="D148" s="11" t="n">
        <x:f>142*'Summary'!$C$18</x:f>
        <x:v>142000</x:v>
      </x:c>
      <x:c r="E148" s="2" t="n">
        <x:v>500</x:v>
      </x:c>
      <x:c r="F148" s="2" t="n">
        <x:v>464</x:v>
      </x:c>
      <x:c r="G148" s="9" t="n">
        <x:f>F148/E148</x:f>
        <x:v>0.928</x:v>
      </x:c>
      <x:c r="H148" s="11" t="n">
        <x:f>K148*'Summary'!$C$18</x:f>
        <x:v>209445.3076595794</x:v>
      </x:c>
      <x:c r="I148" s="11" t="n">
        <x:f>L148*'Summary'!$C$18</x:f>
        <x:v>141667.618488277</x:v>
      </x:c>
      <x:c r="J148" s="11" t="n">
        <x:f>M148*'Summary'!$C$18</x:f>
        <x:v>1000</x:v>
      </x:c>
      <x:c r="K148" s="12" t="n">
        <x:v>209.4453076595794</x:v>
      </x:c>
      <x:c r="L148" s="12" t="n">
        <x:v>141.667618488277</x:v>
      </x:c>
      <x:c r="M148" s="12" t="n">
        <x:v>1</x:v>
      </x:c>
      <x:c r="N148" s="2" t="str">
        <x:v>2009-10</x:v>
      </x:c>
    </x:row>
    <x:row r="149" ht="22" customHeight="1">
      <x:c r="A149" s="8" t="d">
        <x:v>2009-11-30T00:00:00.000Z</x:v>
      </x:c>
      <x:c r="B149" s="8" t="d">
        <x:v>2009-11-02T00:00:00.000Z</x:v>
      </x:c>
      <x:c r="C149" s="2" t="str">
        <x:v>AMZN</x:v>
      </x:c>
      <x:c r="D149" s="11" t="n">
        <x:f>143*'Summary'!$C$18</x:f>
        <x:v>143000</x:v>
      </x:c>
      <x:c r="E149" s="2" t="n">
        <x:v>500</x:v>
      </x:c>
      <x:c r="F149" s="2" t="n">
        <x:v>465</x:v>
      </x:c>
      <x:c r="G149" s="9" t="n">
        <x:f>F149/E149</x:f>
        <x:v>0.93</x:v>
      </x:c>
      <x:c r="H149" s="11" t="n">
        <x:f>K149*'Summary'!$C$18</x:f>
        <x:v>220217.5230592584</x:v>
      </x:c>
      <x:c r="I149" s="11" t="n">
        <x:f>L149*'Summary'!$C$18</x:f>
        <x:v>151451.1094190869</x:v>
      </x:c>
      <x:c r="J149" s="11" t="n">
        <x:f>M149*'Summary'!$C$18</x:f>
        <x:v>1000</x:v>
      </x:c>
      <x:c r="K149" s="12" t="n">
        <x:v>220.2175230592584</x:v>
      </x:c>
      <x:c r="L149" s="12" t="n">
        <x:v>151.4511094190869</x:v>
      </x:c>
      <x:c r="M149" s="12" t="n">
        <x:v>1</x:v>
      </x:c>
      <x:c r="N149" s="2" t="str">
        <x:v>2009-11</x:v>
      </x:c>
    </x:row>
    <x:row r="150" ht="22" customHeight="1">
      <x:c r="A150" s="8" t="d">
        <x:v>2009-12-31T00:00:00.000Z</x:v>
      </x:c>
      <x:c r="B150" s="8" t="d">
        <x:v>2009-12-01T00:00:00.000Z</x:v>
      </x:c>
      <x:c r="C150" s="2" t="str">
        <x:v>AMD</x:v>
      </x:c>
      <x:c r="D150" s="11" t="n">
        <x:f>144*'Summary'!$C$18</x:f>
        <x:v>144000</x:v>
      </x:c>
      <x:c r="E150" s="2" t="n">
        <x:v>500</x:v>
      </x:c>
      <x:c r="F150" s="2" t="n">
        <x:v>466</x:v>
      </x:c>
      <x:c r="G150" s="9" t="n">
        <x:f>F150/E150</x:f>
        <x:v>0.932</x:v>
      </x:c>
      <x:c r="H150" s="11" t="n">
        <x:f>K150*'Summary'!$C$18</x:f>
        <x:v>241362.3817940606</x:v>
      </x:c>
      <x:c r="I150" s="11" t="n">
        <x:f>L150*'Summary'!$C$18</x:f>
        <x:v>155354.068422132</x:v>
      </x:c>
      <x:c r="J150" s="11" t="n">
        <x:f>M150*'Summary'!$C$18</x:f>
        <x:v>1000</x:v>
      </x:c>
      <x:c r="K150" s="12" t="n">
        <x:v>241.3623817940606</x:v>
      </x:c>
      <x:c r="L150" s="12" t="n">
        <x:v>155.354068422132</x:v>
      </x:c>
      <x:c r="M150" s="12" t="n">
        <x:v>1</x:v>
      </x:c>
      <x:c r="N150" s="2" t="str">
        <x:v>2009-12</x:v>
      </x:c>
    </x:row>
    <x:row r="151" ht="22" customHeight="1">
      <x:c r="A151" s="8" t="d">
        <x:v>2010-01-29T00:00:00.000Z</x:v>
      </x:c>
      <x:c r="B151" s="8" t="d">
        <x:v>2010-01-04T00:00:00.000Z</x:v>
      </x:c>
      <x:c r="C151" s="2" t="str">
        <x:v>TGNA</x:v>
      </x:c>
      <x:c r="D151" s="11" t="n">
        <x:f>145*'Summary'!$C$18</x:f>
        <x:v>145000</x:v>
      </x:c>
      <x:c r="E151" s="2" t="n">
        <x:v>500</x:v>
      </x:c>
      <x:c r="F151" s="2" t="n">
        <x:v>467</x:v>
      </x:c>
      <x:c r="G151" s="9" t="n">
        <x:f>F151/E151</x:f>
        <x:v>0.934</x:v>
      </x:c>
      <x:c r="H151" s="11" t="n">
        <x:f>K151*'Summary'!$C$18</x:f>
        <x:v>230327.4386995056</x:v>
      </x:c>
      <x:c r="I151" s="11" t="n">
        <x:f>L151*'Summary'!$C$18</x:f>
        <x:v>150663.8025839554</x:v>
      </x:c>
      <x:c r="J151" s="11" t="n">
        <x:f>M151*'Summary'!$C$18</x:f>
        <x:v>1000</x:v>
      </x:c>
      <x:c r="K151" s="12" t="n">
        <x:v>230.32743869950562</x:v>
      </x:c>
      <x:c r="L151" s="12" t="n">
        <x:v>150.6638025839554</x:v>
      </x:c>
      <x:c r="M151" s="12" t="n">
        <x:v>1</x:v>
      </x:c>
      <x:c r="N151" s="2" t="str">
        <x:v>2010-01</x:v>
      </x:c>
    </x:row>
    <x:row r="152" ht="22" customHeight="1">
      <x:c r="A152" s="8" t="d">
        <x:v>2010-02-26T00:00:00.000Z</x:v>
      </x:c>
      <x:c r="B152" s="8" t="d">
        <x:v>2010-02-01T00:00:00.000Z</x:v>
      </x:c>
      <x:c r="C152" s="2" t="str">
        <x:v>ZION</x:v>
      </x:c>
      <x:c r="D152" s="11" t="n">
        <x:f>146*'Summary'!$C$18</x:f>
        <x:v>146000</x:v>
      </x:c>
      <x:c r="E152" s="2" t="n">
        <x:v>500</x:v>
      </x:c>
      <x:c r="F152" s="2" t="n">
        <x:v>468</x:v>
      </x:c>
      <x:c r="G152" s="9" t="n">
        <x:f>F152/E152</x:f>
        <x:v>0.936</x:v>
      </x:c>
      <x:c r="H152" s="11" t="n">
        <x:f>K152*'Summary'!$C$18</x:f>
        <x:v>240395.4798006233</x:v>
      </x:c>
      <x:c r="I152" s="11" t="n">
        <x:f>L152*'Summary'!$C$18</x:f>
        <x:v>156387.6624155843</x:v>
      </x:c>
      <x:c r="J152" s="11" t="n">
        <x:f>M152*'Summary'!$C$18</x:f>
        <x:v>1000</x:v>
      </x:c>
      <x:c r="K152" s="12" t="n">
        <x:v>240.3954798006233</x:v>
      </x:c>
      <x:c r="L152" s="12" t="n">
        <x:v>156.3876624155843</x:v>
      </x:c>
      <x:c r="M152" s="12" t="n">
        <x:v>1</x:v>
      </x:c>
      <x:c r="N152" s="2" t="str">
        <x:v>2010-02</x:v>
      </x:c>
    </x:row>
    <x:row r="153" ht="22" customHeight="1">
      <x:c r="A153" s="8" t="d">
        <x:v>2010-03-31T00:00:00.000Z</x:v>
      </x:c>
      <x:c r="B153" s="8" t="d">
        <x:v>2010-03-01T00:00:00.000Z</x:v>
      </x:c>
      <x:c r="C153" s="2" t="str">
        <x:v>ARG-201605</x:v>
      </x:c>
      <x:c r="D153" s="11" t="n">
        <x:f>147*'Summary'!$C$18</x:f>
        <x:v>147000</x:v>
      </x:c>
      <x:c r="E153" s="2" t="n">
        <x:v>499</x:v>
      </x:c>
      <x:c r="F153" s="2" t="n">
        <x:v>470</x:v>
      </x:c>
      <x:c r="G153" s="9" t="n">
        <x:f>F153/E153</x:f>
        <x:v>0.9418837675350702</x:v>
      </x:c>
      <x:c r="H153" s="11" t="n">
        <x:f>K153*'Summary'!$C$18</x:f>
        <x:v>268967.2744421328</x:v>
      </x:c>
      <x:c r="I153" s="11" t="n">
        <x:f>L153*'Summary'!$C$18</x:f>
        <x:v>166964.9822020582</x:v>
      </x:c>
      <x:c r="J153" s="11" t="n">
        <x:f>M153*'Summary'!$C$18</x:f>
        <x:v>1000</x:v>
      </x:c>
      <x:c r="K153" s="12" t="n">
        <x:v>268.9672744421328</x:v>
      </x:c>
      <x:c r="L153" s="12" t="n">
        <x:v>166.9649822020582</x:v>
      </x:c>
      <x:c r="M153" s="12" t="n">
        <x:v>1</x:v>
      </x:c>
      <x:c r="N153" s="2" t="str">
        <x:v>2010-03</x:v>
      </x:c>
    </x:row>
    <x:row r="154" ht="22" customHeight="1">
      <x:c r="A154" s="8" t="d">
        <x:v>2010-04-30T00:00:00.000Z</x:v>
      </x:c>
      <x:c r="B154" s="8" t="d">
        <x:v>2010-04-01T00:00:00.000Z</x:v>
      </x:c>
      <x:c r="C154" s="2" t="str">
        <x:v>TIE-201301</x:v>
      </x:c>
      <x:c r="D154" s="11" t="n">
        <x:f>148*'Summary'!$C$18</x:f>
        <x:v>148000</x:v>
      </x:c>
      <x:c r="E154" s="2" t="n">
        <x:v>500</x:v>
      </x:c>
      <x:c r="F154" s="2" t="n">
        <x:v>472</x:v>
      </x:c>
      <x:c r="G154" s="9" t="n">
        <x:f>F154/E154</x:f>
        <x:v>0.944</x:v>
      </x:c>
      <x:c r="H154" s="11" t="n">
        <x:f>K154*'Summary'!$C$18</x:f>
        <x:v>279382.0411897188</x:v>
      </x:c>
      <x:c r="I154" s="11" t="n">
        <x:f>L154*'Summary'!$C$18</x:f>
        <x:v>170556.5150705097</x:v>
      </x:c>
      <x:c r="J154" s="11" t="n">
        <x:f>M154*'Summary'!$C$18</x:f>
        <x:v>1000</x:v>
      </x:c>
      <x:c r="K154" s="12" t="n">
        <x:v>279.3820411897188</x:v>
      </x:c>
      <x:c r="L154" s="12" t="n">
        <x:v>170.55651507050968</x:v>
      </x:c>
      <x:c r="M154" s="12" t="n">
        <x:v>1</x:v>
      </x:c>
      <x:c r="N154" s="2" t="str">
        <x:v>2010-04</x:v>
      </x:c>
    </x:row>
    <x:row r="155" ht="22" customHeight="1">
      <x:c r="A155" s="8" t="d">
        <x:v>2010-05-28T00:00:00.000Z</x:v>
      </x:c>
      <x:c r="B155" s="8" t="d">
        <x:v>2010-05-03T00:00:00.000Z</x:v>
      </x:c>
      <x:c r="C155" s="2" t="str">
        <x:v>ZION</x:v>
      </x:c>
      <x:c r="D155" s="11" t="n">
        <x:f>149*'Summary'!$C$18</x:f>
        <x:v>149000</x:v>
      </x:c>
      <x:c r="E155" s="2" t="n">
        <x:v>500</x:v>
      </x:c>
      <x:c r="F155" s="2" t="n">
        <x:v>472</x:v>
      </x:c>
      <x:c r="G155" s="9" t="n">
        <x:f>F155/E155</x:f>
        <x:v>0.944</x:v>
      </x:c>
      <x:c r="H155" s="11" t="n">
        <x:f>K155*'Summary'!$C$18</x:f>
        <x:v>262017.04177500313</x:v>
      </x:c>
      <x:c r="I155" s="11" t="n">
        <x:f>L155*'Summary'!$C$18</x:f>
        <x:v>157921.1741830303</x:v>
      </x:c>
      <x:c r="J155" s="11" t="n">
        <x:f>M155*'Summary'!$C$18</x:f>
        <x:v>1000</x:v>
      </x:c>
      <x:c r="K155" s="12" t="n">
        <x:v>262.0170417750031</x:v>
      </x:c>
      <x:c r="L155" s="12" t="n">
        <x:v>157.9211741830303</x:v>
      </x:c>
      <x:c r="M155" s="12" t="n">
        <x:v>1</x:v>
      </x:c>
      <x:c r="N155" s="2" t="str">
        <x:v>2010-05</x:v>
      </x:c>
    </x:row>
    <x:row r="156" ht="22" customHeight="1">
      <x:c r="A156" s="8" t="d">
        <x:v>2010-06-30T00:00:00.000Z</x:v>
      </x:c>
      <x:c r="B156" s="8" t="d">
        <x:v>2010-06-01T00:00:00.000Z</x:v>
      </x:c>
      <x:c r="C156" s="2" t="str">
        <x:v>S-202004</x:v>
      </x:c>
      <x:c r="D156" s="11" t="n">
        <x:f>150*'Summary'!$C$18</x:f>
        <x:v>150000</x:v>
      </x:c>
      <x:c r="E156" s="2" t="n">
        <x:v>500</x:v>
      </x:c>
      <x:c r="F156" s="2" t="n">
        <x:v>472</x:v>
      </x:c>
      <x:c r="G156" s="9" t="n">
        <x:f>F156/E156</x:f>
        <x:v>0.944</x:v>
      </x:c>
      <x:c r="H156" s="11" t="n">
        <x:f>K156*'Summary'!$C$18</x:f>
        <x:v>243297.3221182753</x:v>
      </x:c>
      <x:c r="I156" s="11" t="n">
        <x:f>L156*'Summary'!$C$18</x:f>
        <x:v>150707.3600307111</x:v>
      </x:c>
      <x:c r="J156" s="11" t="n">
        <x:f>M156*'Summary'!$C$18</x:f>
        <x:v>1000</x:v>
      </x:c>
      <x:c r="K156" s="12" t="n">
        <x:v>243.2973221182753</x:v>
      </x:c>
      <x:c r="L156" s="12" t="n">
        <x:v>150.7073600307111</x:v>
      </x:c>
      <x:c r="M156" s="12" t="n">
        <x:v>1</x:v>
      </x:c>
      <x:c r="N156" s="2" t="str">
        <x:v>2010-06</x:v>
      </x:c>
    </x:row>
    <x:row r="157" ht="22" customHeight="1">
      <x:c r="A157" s="8" t="d">
        <x:v>2010-07-30T00:00:00.000Z</x:v>
      </x:c>
      <x:c r="B157" s="8" t="d">
        <x:v>2010-07-01T00:00:00.000Z</x:v>
      </x:c>
      <x:c r="C157" s="2" t="str">
        <x:v>NEM</x:v>
      </x:c>
      <x:c r="D157" s="11" t="n">
        <x:f>151*'Summary'!$C$18</x:f>
        <x:v>151000</x:v>
      </x:c>
      <x:c r="E157" s="2" t="n">
        <x:v>500</x:v>
      </x:c>
      <x:c r="F157" s="2" t="n">
        <x:v>472</x:v>
      </x:c>
      <x:c r="G157" s="9" t="n">
        <x:f>F157/E157</x:f>
        <x:v>0.944</x:v>
      </x:c>
      <x:c r="H157" s="11" t="n">
        <x:f>K157*'Summary'!$C$18</x:f>
        <x:v>259245.29580600766</x:v>
      </x:c>
      <x:c r="I157" s="11" t="n">
        <x:f>L157*'Summary'!$C$18</x:f>
        <x:v>162069.7996021232</x:v>
      </x:c>
      <x:c r="J157" s="11" t="n">
        <x:f>M157*'Summary'!$C$18</x:f>
        <x:v>1000</x:v>
      </x:c>
      <x:c r="K157" s="12" t="n">
        <x:v>259.2452958060077</x:v>
      </x:c>
      <x:c r="L157" s="12" t="n">
        <x:v>162.0697996021232</x:v>
      </x:c>
      <x:c r="M157" s="12" t="n">
        <x:v>1</x:v>
      </x:c>
      <x:c r="N157" s="2" t="str">
        <x:v>2010-07</x:v>
      </x:c>
    </x:row>
    <x:row r="158" ht="22" customHeight="1">
      <x:c r="A158" s="8" t="d">
        <x:v>2010-08-31T00:00:00.000Z</x:v>
      </x:c>
      <x:c r="B158" s="8" t="d">
        <x:v>2010-08-02T00:00:00.000Z</x:v>
      </x:c>
      <x:c r="C158" s="2" t="str">
        <x:v>APC-201908</x:v>
      </x:c>
      <x:c r="D158" s="11" t="n">
        <x:f>152*'Summary'!$C$18</x:f>
        <x:v>152000</x:v>
      </x:c>
      <x:c r="E158" s="2" t="n">
        <x:v>500</x:v>
      </x:c>
      <x:c r="F158" s="2" t="n">
        <x:v>473</x:v>
      </x:c>
      <x:c r="G158" s="9" t="n">
        <x:f>F158/E158</x:f>
        <x:v>0.946</x:v>
      </x:c>
      <x:c r="H158" s="11" t="n">
        <x:f>K158*'Summary'!$C$18</x:f>
        <x:v>246547.0566429507</x:v>
      </x:c>
      <x:c r="I158" s="11" t="n">
        <x:f>L158*'Summary'!$C$18</x:f>
        <x:v>155720.1715286639</x:v>
      </x:c>
      <x:c r="J158" s="11" t="n">
        <x:f>M158*'Summary'!$C$18</x:f>
        <x:v>1000</x:v>
      </x:c>
      <x:c r="K158" s="12" t="n">
        <x:v>246.54705664295068</x:v>
      </x:c>
      <x:c r="L158" s="12" t="n">
        <x:v>155.72017152866388</x:v>
      </x:c>
      <x:c r="M158" s="12" t="n">
        <x:v>1</x:v>
      </x:c>
      <x:c r="N158" s="2" t="str">
        <x:v>2010-08</x:v>
      </x:c>
    </x:row>
    <x:row r="159" ht="22" customHeight="1">
      <x:c r="A159" s="8" t="d">
        <x:v>2010-09-30T00:00:00.000Z</x:v>
      </x:c>
      <x:c r="B159" s="8" t="d">
        <x:v>2010-09-01T00:00:00.000Z</x:v>
      </x:c>
      <x:c r="C159" s="2" t="str">
        <x:v>MFE-201102</x:v>
      </x:c>
      <x:c r="D159" s="11" t="n">
        <x:f>153*'Summary'!$C$18</x:f>
        <x:v>153000</x:v>
      </x:c>
      <x:c r="E159" s="2" t="n">
        <x:v>500</x:v>
      </x:c>
      <x:c r="F159" s="2" t="n">
        <x:v>474</x:v>
      </x:c>
      <x:c r="G159" s="9" t="n">
        <x:f>F159/E159</x:f>
        <x:v>0.948</x:v>
      </x:c>
      <x:c r="H159" s="11" t="n">
        <x:f>K159*'Summary'!$C$18</x:f>
        <x:v>280802.5522567919</x:v>
      </x:c>
      <x:c r="I159" s="11" t="n">
        <x:f>L159*'Summary'!$C$18</x:f>
        <x:v>170740.7020696451</x:v>
      </x:c>
      <x:c r="J159" s="11" t="n">
        <x:f>M159*'Summary'!$C$18</x:f>
        <x:v>1000</x:v>
      </x:c>
      <x:c r="K159" s="12" t="n">
        <x:v>280.8025522567919</x:v>
      </x:c>
      <x:c r="L159" s="12" t="n">
        <x:v>170.7407020696451</x:v>
      </x:c>
      <x:c r="M159" s="12" t="n">
        <x:v>1</x:v>
      </x:c>
      <x:c r="N159" s="2" t="str">
        <x:v>2010-09</x:v>
      </x:c>
    </x:row>
    <x:row r="160" ht="22" customHeight="1">
      <x:c r="A160" s="8" t="d">
        <x:v>2010-10-29T00:00:00.000Z</x:v>
      </x:c>
      <x:c r="B160" s="8" t="d">
        <x:v>2010-10-01T00:00:00.000Z</x:v>
      </x:c>
      <x:c r="C160" s="2" t="str">
        <x:v>JBL</x:v>
      </x:c>
      <x:c r="D160" s="11" t="n">
        <x:f>154*'Summary'!$C$18</x:f>
        <x:v>154000</x:v>
      </x:c>
      <x:c r="E160" s="2" t="n">
        <x:v>500</x:v>
      </x:c>
      <x:c r="F160" s="2" t="n">
        <x:v>474</x:v>
      </x:c>
      <x:c r="G160" s="9" t="n">
        <x:f>F160/E160</x:f>
        <x:v>0.948</x:v>
      </x:c>
      <x:c r="H160" s="11" t="n">
        <x:f>K160*'Summary'!$C$18</x:f>
        <x:v>294712.351416404</x:v>
      </x:c>
      <x:c r="I160" s="11" t="n">
        <x:f>L160*'Summary'!$C$18</x:f>
        <x:v>178293.7854572501</x:v>
      </x:c>
      <x:c r="J160" s="11" t="n">
        <x:f>M160*'Summary'!$C$18</x:f>
        <x:v>1000</x:v>
      </x:c>
      <x:c r="K160" s="12" t="n">
        <x:v>294.71235141640403</x:v>
      </x:c>
      <x:c r="L160" s="12" t="n">
        <x:v>178.2937854572501</x:v>
      </x:c>
      <x:c r="M160" s="12" t="n">
        <x:v>1</x:v>
      </x:c>
      <x:c r="N160" s="2" t="str">
        <x:v>2010-10</x:v>
      </x:c>
    </x:row>
    <x:row r="161" ht="22" customHeight="1">
      <x:c r="A161" s="8" t="d">
        <x:v>2010-11-30T00:00:00.000Z</x:v>
      </x:c>
      <x:c r="B161" s="8" t="d">
        <x:v>2010-11-01T00:00:00.000Z</x:v>
      </x:c>
      <x:c r="C161" s="2" t="str">
        <x:v>MWW-201610</x:v>
      </x:c>
      <x:c r="D161" s="11" t="n">
        <x:f>155*'Summary'!$C$18</x:f>
        <x:v>155000</x:v>
      </x:c>
      <x:c r="E161" s="2" t="n">
        <x:v>500</x:v>
      </x:c>
      <x:c r="F161" s="2" t="n">
        <x:v>474</x:v>
      </x:c>
      <x:c r="G161" s="9" t="n">
        <x:f>F161/E161</x:f>
        <x:v>0.948</x:v>
      </x:c>
      <x:c r="H161" s="11" t="n">
        <x:f>K161*'Summary'!$C$18</x:f>
        <x:v>303684.378966654</x:v>
      </x:c>
      <x:c r="I161" s="11" t="n">
        <x:f>L161*'Summary'!$C$18</x:f>
        <x:v>179288.9143576194</x:v>
      </x:c>
      <x:c r="J161" s="11" t="n">
        <x:f>M161*'Summary'!$C$18</x:f>
        <x:v>1000</x:v>
      </x:c>
      <x:c r="K161" s="12" t="n">
        <x:v>303.68437896665404</x:v>
      </x:c>
      <x:c r="L161" s="12" t="n">
        <x:v>179.28891435761938</x:v>
      </x:c>
      <x:c r="M161" s="12" t="n">
        <x:v>1</x:v>
      </x:c>
      <x:c r="N161" s="2" t="str">
        <x:v>2010-11</x:v>
      </x:c>
    </x:row>
    <x:row r="162" ht="22" customHeight="1">
      <x:c r="A162" s="8" t="d">
        <x:v>2010-12-31T00:00:00.000Z</x:v>
      </x:c>
      <x:c r="B162" s="8" t="d">
        <x:v>2010-12-01T00:00:00.000Z</x:v>
      </x:c>
      <x:c r="C162" s="2" t="str">
        <x:v>HAR-201703</x:v>
      </x:c>
      <x:c r="D162" s="11" t="n">
        <x:f>156*'Summary'!$C$18</x:f>
        <x:v>156000</x:v>
      </x:c>
      <x:c r="E162" s="2" t="n">
        <x:v>500</x:v>
      </x:c>
      <x:c r="F162" s="2" t="n">
        <x:v>475</x:v>
      </x:c>
      <x:c r="G162" s="9" t="n">
        <x:f>F162/E162</x:f>
        <x:v>0.95</x:v>
      </x:c>
      <x:c r="H162" s="11" t="n">
        <x:f>K162*'Summary'!$C$18</x:f>
        <x:v>329741.4131652362</x:v>
      </x:c>
      <x:c r="I162" s="11" t="n">
        <x:f>L162*'Summary'!$C$18</x:f>
        <x:v>192326.4630549351</x:v>
      </x:c>
      <x:c r="J162" s="11" t="n">
        <x:f>M162*'Summary'!$C$18</x:f>
        <x:v>1000</x:v>
      </x:c>
      <x:c r="K162" s="12" t="n">
        <x:v>329.74141316523617</x:v>
      </x:c>
      <x:c r="L162" s="12" t="n">
        <x:v>192.3264630549351</x:v>
      </x:c>
      <x:c r="M162" s="12" t="n">
        <x:v>1</x:v>
      </x:c>
      <x:c r="N162" s="2" t="str">
        <x:v>2010-12</x:v>
      </x:c>
    </x:row>
    <x:row r="163" ht="22" customHeight="1">
      <x:c r="A163" s="8" t="d">
        <x:v>2011-01-31T00:00:00.000Z</x:v>
      </x:c>
      <x:c r="B163" s="8" t="d">
        <x:v>2011-01-03T00:00:00.000Z</x:v>
      </x:c>
      <x:c r="C163" s="2" t="str">
        <x:v>THC</x:v>
      </x:c>
      <x:c r="D163" s="11" t="n">
        <x:f>157*'Summary'!$C$18</x:f>
        <x:v>157000</x:v>
      </x:c>
      <x:c r="E163" s="2" t="n">
        <x:v>500</x:v>
      </x:c>
      <x:c r="F163" s="2" t="n">
        <x:v>477</x:v>
      </x:c>
      <x:c r="G163" s="9" t="n">
        <x:f>F163/E163</x:f>
        <x:v>0.954</x:v>
      </x:c>
      <x:c r="H163" s="11" t="n">
        <x:f>K163*'Summary'!$C$18</x:f>
        <x:v>340285.1738105416</x:v>
      </x:c>
      <x:c r="I163" s="11" t="n">
        <x:f>L163*'Summary'!$C$18</x:f>
        <x:v>197823.2439404174</x:v>
      </x:c>
      <x:c r="J163" s="11" t="n">
        <x:f>M163*'Summary'!$C$18</x:f>
        <x:v>1000</x:v>
      </x:c>
      <x:c r="K163" s="12" t="n">
        <x:v>340.28517381054155</x:v>
      </x:c>
      <x:c r="L163" s="12" t="n">
        <x:v>197.8232439404174</x:v>
      </x:c>
      <x:c r="M163" s="12" t="n">
        <x:v>1</x:v>
      </x:c>
      <x:c r="N163" s="2" t="str">
        <x:v>2011-01</x:v>
      </x:c>
    </x:row>
    <x:row r="164" ht="22" customHeight="1">
      <x:c r="A164" s="8" t="d">
        <x:v>2011-02-28T00:00:00.000Z</x:v>
      </x:c>
      <x:c r="B164" s="8" t="d">
        <x:v>2011-02-01T00:00:00.000Z</x:v>
      </x:c>
      <x:c r="C164" s="2" t="str">
        <x:v>NVDA</x:v>
      </x:c>
      <x:c r="D164" s="11" t="n">
        <x:f>158*'Summary'!$C$18</x:f>
        <x:v>158000</x:v>
      </x:c>
      <x:c r="E164" s="2" t="n">
        <x:v>500</x:v>
      </x:c>
      <x:c r="F164" s="2" t="n">
        <x:v>476</x:v>
      </x:c>
      <x:c r="G164" s="9" t="n">
        <x:f>F164/E164</x:f>
        <x:v>0.952</x:v>
      </x:c>
      <x:c r="H164" s="11" t="n">
        <x:f>K164*'Summary'!$C$18</x:f>
        <x:v>358824.9178919847</x:v>
      </x:c>
      <x:c r="I164" s="11" t="n">
        <x:f>L164*'Summary'!$C$18</x:f>
        <x:v>205723.6010049845</x:v>
      </x:c>
      <x:c r="J164" s="11" t="n">
        <x:f>M164*'Summary'!$C$18</x:f>
        <x:v>1000</x:v>
      </x:c>
      <x:c r="K164" s="12" t="n">
        <x:v>358.8249178919847</x:v>
      </x:c>
      <x:c r="L164" s="12" t="n">
        <x:v>205.7236010049845</x:v>
      </x:c>
      <x:c r="M164" s="12" t="n">
        <x:v>1</x:v>
      </x:c>
      <x:c r="N164" s="2" t="str">
        <x:v>2011-02</x:v>
      </x:c>
    </x:row>
    <x:row r="165" ht="22" customHeight="1">
      <x:c r="A165" s="8" t="d">
        <x:v>2011-03-31T00:00:00.000Z</x:v>
      </x:c>
      <x:c r="B165" s="8" t="d">
        <x:v>2011-03-01T00:00:00.000Z</x:v>
      </x:c>
      <x:c r="C165" s="2" t="str">
        <x:v>VIAV</x:v>
      </x:c>
      <x:c r="D165" s="11" t="n">
        <x:f>159*'Summary'!$C$18</x:f>
        <x:v>159000</x:v>
      </x:c>
      <x:c r="E165" s="2" t="n">
        <x:v>500</x:v>
      </x:c>
      <x:c r="F165" s="2" t="n">
        <x:v>476</x:v>
      </x:c>
      <x:c r="G165" s="9" t="n">
        <x:f>F165/E165</x:f>
        <x:v>0.952</x:v>
      </x:c>
      <x:c r="H165" s="11" t="n">
        <x:f>K165*'Summary'!$C$18</x:f>
        <x:v>359580.7491776058</x:v>
      </x:c>
      <x:c r="I165" s="11" t="n">
        <x:f>L165*'Summary'!$C$18</x:f>
        <x:v>206745.2910914861</x:v>
      </x:c>
      <x:c r="J165" s="11" t="n">
        <x:f>M165*'Summary'!$C$18</x:f>
        <x:v>2000</x:v>
      </x:c>
      <x:c r="K165" s="12" t="n">
        <x:v>359.5807491776058</x:v>
      </x:c>
      <x:c r="L165" s="12" t="n">
        <x:v>206.7452910914861</x:v>
      </x:c>
      <x:c r="M165" s="12" t="n">
        <x:v>2</x:v>
      </x:c>
      <x:c r="N165" s="2" t="str">
        <x:v>2011-03</x:v>
      </x:c>
    </x:row>
    <x:row r="166" ht="22" customHeight="1">
      <x:c r="A166" s="8" t="d">
        <x:v>2011-04-29T00:00:00.000Z</x:v>
      </x:c>
      <x:c r="B166" s="8" t="d">
        <x:v>2011-04-01T00:00:00.000Z</x:v>
      </x:c>
      <x:c r="C166" s="2" t="str">
        <x:v>LO-201506</x:v>
      </x:c>
      <x:c r="D166" s="11" t="n">
        <x:f>160*'Summary'!$C$18</x:f>
        <x:v>160000</x:v>
      </x:c>
      <x:c r="E166" s="2" t="n">
        <x:v>500</x:v>
      </x:c>
      <x:c r="F166" s="2" t="n">
        <x:v>476</x:v>
      </x:c>
      <x:c r="G166" s="9" t="n">
        <x:f>F166/E166</x:f>
        <x:v>0.952</x:v>
      </x:c>
      <x:c r="H166" s="11" t="n">
        <x:f>K166*'Summary'!$C$18</x:f>
        <x:v>366645.4602620116</x:v>
      </x:c>
      <x:c r="I166" s="11" t="n">
        <x:f>L166*'Summary'!$C$18</x:f>
        <x:v>213755.5679538359</x:v>
      </x:c>
      <x:c r="J166" s="11" t="n">
        <x:f>M166*'Summary'!$C$18</x:f>
        <x:v>2000</x:v>
      </x:c>
      <x:c r="K166" s="12" t="n">
        <x:v>366.6454602620116</x:v>
      </x:c>
      <x:c r="L166" s="12" t="n">
        <x:v>213.7555679538359</x:v>
      </x:c>
      <x:c r="M166" s="12" t="n">
        <x:v>2</x:v>
      </x:c>
      <x:c r="N166" s="2" t="str">
        <x:v>2011-04</x:v>
      </x:c>
    </x:row>
    <x:row r="167" ht="22" customHeight="1">
      <x:c r="A167" s="8" t="d">
        <x:v>2011-05-31T00:00:00.000Z</x:v>
      </x:c>
      <x:c r="B167" s="8" t="d">
        <x:v>2011-05-02T00:00:00.000Z</x:v>
      </x:c>
      <x:c r="C167" s="2" t="str">
        <x:v>BIIB</x:v>
      </x:c>
      <x:c r="D167" s="11" t="n">
        <x:f>161*'Summary'!$C$18</x:f>
        <x:v>161000</x:v>
      </x:c>
      <x:c r="E167" s="2" t="n">
        <x:v>500</x:v>
      </x:c>
      <x:c r="F167" s="2" t="n">
        <x:v>479</x:v>
      </x:c>
      <x:c r="G167" s="9" t="n">
        <x:f>F167/E167</x:f>
        <x:v>0.958</x:v>
      </x:c>
      <x:c r="H167" s="11" t="n">
        <x:f>K167*'Summary'!$C$18</x:f>
        <x:v>360847.806662169</x:v>
      </x:c>
      <x:c r="I167" s="11" t="n">
        <x:f>L167*'Summary'!$C$18</x:f>
        <x:v>212342.5674651514</x:v>
      </x:c>
      <x:c r="J167" s="11" t="n">
        <x:f>M167*'Summary'!$C$18</x:f>
        <x:v>2000</x:v>
      </x:c>
      <x:c r="K167" s="12" t="n">
        <x:v>360.847806662169</x:v>
      </x:c>
      <x:c r="L167" s="12" t="n">
        <x:v>212.3425674651514</x:v>
      </x:c>
      <x:c r="M167" s="12" t="n">
        <x:v>2</x:v>
      </x:c>
      <x:c r="N167" s="2" t="str">
        <x:v>2011-05</x:v>
      </x:c>
    </x:row>
    <x:row r="168" ht="22" customHeight="1">
      <x:c r="A168" s="8" t="d">
        <x:v>2011-06-30T00:00:00.000Z</x:v>
      </x:c>
      <x:c r="B168" s="8" t="d">
        <x:v>2011-06-01T00:00:00.000Z</x:v>
      </x:c>
      <x:c r="C168" s="2" t="str">
        <x:v>DF</x:v>
      </x:c>
      <x:c r="D168" s="11" t="n">
        <x:f>162*'Summary'!$C$18</x:f>
        <x:v>162000</x:v>
      </x:c>
      <x:c r="E168" s="2" t="n">
        <x:v>500</x:v>
      </x:c>
      <x:c r="F168" s="2" t="n">
        <x:v>479</x:v>
      </x:c>
      <x:c r="G168" s="9" t="n">
        <x:f>F168/E168</x:f>
        <x:v>0.958</x:v>
      </x:c>
      <x:c r="H168" s="11" t="n">
        <x:f>K168*'Summary'!$C$18</x:f>
        <x:v>346466.0089597278</x:v>
      </x:c>
      <x:c r="I168" s="11" t="n">
        <x:f>L168*'Summary'!$C$18</x:f>
        <x:v>209746.3858312308</x:v>
      </x:c>
      <x:c r="J168" s="11" t="n">
        <x:f>M168*'Summary'!$C$18</x:f>
        <x:v>2000</x:v>
      </x:c>
      <x:c r="K168" s="12" t="n">
        <x:v>346.46600895972784</x:v>
      </x:c>
      <x:c r="L168" s="12" t="n">
        <x:v>209.74638583123078</x:v>
      </x:c>
      <x:c r="M168" s="12" t="n">
        <x:v>2</x:v>
      </x:c>
      <x:c r="N168" s="2" t="str">
        <x:v>2011-06</x:v>
      </x:c>
    </x:row>
    <x:row r="169" ht="22" customHeight="1">
      <x:c r="A169" s="8" t="d">
        <x:v>2011-07-29T00:00:00.000Z</x:v>
      </x:c>
      <x:c r="B169" s="8" t="d">
        <x:v>2011-07-01T00:00:00.000Z</x:v>
      </x:c>
      <x:c r="C169" s="2" t="str">
        <x:v>BIIB</x:v>
      </x:c>
      <x:c r="D169" s="11" t="n">
        <x:f>163*'Summary'!$C$18</x:f>
        <x:v>163000</x:v>
      </x:c>
      <x:c r="E169" s="2" t="n">
        <x:v>500</x:v>
      </x:c>
      <x:c r="F169" s="2" t="n">
        <x:v>481</x:v>
      </x:c>
      <x:c r="G169" s="9" t="n">
        <x:f>F169/E169</x:f>
        <x:v>0.962</x:v>
      </x:c>
      <x:c r="H169" s="11" t="n">
        <x:f>K169*'Summary'!$C$18</x:f>
        <x:v>350180.9736930081</x:v>
      </x:c>
      <x:c r="I169" s="11" t="n">
        <x:f>L169*'Summary'!$C$18</x:f>
        <x:v>206529.6107115425</x:v>
      </x:c>
      <x:c r="J169" s="11" t="n">
        <x:f>M169*'Summary'!$C$18</x:f>
        <x:v>2000</x:v>
      </x:c>
      <x:c r="K169" s="12" t="n">
        <x:v>350.1809736930081</x:v>
      </x:c>
      <x:c r="L169" s="12" t="n">
        <x:v>206.52961071154252</x:v>
      </x:c>
      <x:c r="M169" s="12" t="n">
        <x:v>2</x:v>
      </x:c>
      <x:c r="N169" s="2" t="str">
        <x:v>2011-07</x:v>
      </x:c>
    </x:row>
    <x:row r="170" ht="22" customHeight="1">
      <x:c r="A170" s="8" t="d">
        <x:v>2011-08-31T00:00:00.000Z</x:v>
      </x:c>
      <x:c r="B170" s="8" t="d">
        <x:v>2011-08-01T00:00:00.000Z</x:v>
      </x:c>
      <x:c r="C170" s="2" t="str">
        <x:v>EQT</x:v>
      </x:c>
      <x:c r="D170" s="11" t="n">
        <x:f>164*'Summary'!$C$18</x:f>
        <x:v>164000</x:v>
      </x:c>
      <x:c r="E170" s="2" t="n">
        <x:v>500</x:v>
      </x:c>
      <x:c r="F170" s="2" t="n">
        <x:v>483</x:v>
      </x:c>
      <x:c r="G170" s="9" t="n">
        <x:f>F170/E170</x:f>
        <x:v>0.966</x:v>
      </x:c>
      <x:c r="H170" s="11" t="n">
        <x:f>K170*'Summary'!$C$18</x:f>
        <x:v>321955.6890537968</x:v>
      </x:c>
      <x:c r="I170" s="11" t="n">
        <x:f>L170*'Summary'!$C$18</x:f>
        <x:v>196109.6296473783</x:v>
      </x:c>
      <x:c r="J170" s="11" t="n">
        <x:f>M170*'Summary'!$C$18</x:f>
        <x:v>2000</x:v>
      </x:c>
      <x:c r="K170" s="12" t="n">
        <x:v>321.9556890537968</x:v>
      </x:c>
      <x:c r="L170" s="12" t="n">
        <x:v>196.10962964737828</x:v>
      </x:c>
      <x:c r="M170" s="12" t="n">
        <x:v>2</x:v>
      </x:c>
      <x:c r="N170" s="2" t="str">
        <x:v>2011-08</x:v>
      </x:c>
    </x:row>
    <x:row r="171" ht="22" customHeight="1">
      <x:c r="A171" s="8" t="d">
        <x:v>2011-09-30T00:00:00.000Z</x:v>
      </x:c>
      <x:c r="B171" s="8" t="d">
        <x:v>2011-09-01T00:00:00.000Z</x:v>
      </x:c>
      <x:c r="C171" s="2" t="str">
        <x:v>CF</x:v>
      </x:c>
      <x:c r="D171" s="11" t="n">
        <x:f>165*'Summary'!$C$18</x:f>
        <x:v>165000</x:v>
      </x:c>
      <x:c r="E171" s="2" t="n">
        <x:v>500</x:v>
      </x:c>
      <x:c r="F171" s="2" t="n">
        <x:v>483</x:v>
      </x:c>
      <x:c r="G171" s="9" t="n">
        <x:f>F171/E171</x:f>
        <x:v>0.966</x:v>
      </x:c>
      <x:c r="H171" s="11" t="n">
        <x:f>K171*'Summary'!$C$18</x:f>
        <x:v>295978.9652649318</x:v>
      </x:c>
      <x:c r="I171" s="11" t="n">
        <x:f>L171*'Summary'!$C$18</x:f>
        <x:v>183425.5992146843</x:v>
      </x:c>
      <x:c r="J171" s="11" t="n">
        <x:f>M171*'Summary'!$C$18</x:f>
        <x:v>2000</x:v>
      </x:c>
      <x:c r="K171" s="12" t="n">
        <x:v>295.9789652649318</x:v>
      </x:c>
      <x:c r="L171" s="12" t="n">
        <x:v>183.4255992146843</x:v>
      </x:c>
      <x:c r="M171" s="12" t="n">
        <x:v>2</x:v>
      </x:c>
      <x:c r="N171" s="2" t="str">
        <x:v>2011-09</x:v>
      </x:c>
    </x:row>
    <x:row r="172" ht="22" customHeight="1">
      <x:c r="A172" s="8" t="d">
        <x:v>2011-10-31T00:00:00.000Z</x:v>
      </x:c>
      <x:c r="B172" s="8" t="d">
        <x:v>2011-10-03T00:00:00.000Z</x:v>
      </x:c>
      <x:c r="C172" s="2" t="str">
        <x:v>SNDK-201605</x:v>
      </x:c>
      <x:c r="D172" s="11" t="n">
        <x:f>166*'Summary'!$C$18</x:f>
        <x:v>166000</x:v>
      </x:c>
      <x:c r="E172" s="2" t="n">
        <x:v>500</x:v>
      </x:c>
      <x:c r="F172" s="2" t="n">
        <x:v>484</x:v>
      </x:c>
      <x:c r="G172" s="9" t="n">
        <x:f>F172/E172</x:f>
        <x:v>0.968</x:v>
      </x:c>
      <x:c r="H172" s="11" t="n">
        <x:f>K172*'Summary'!$C$18</x:f>
        <x:v>331190.368319941</x:v>
      </x:c>
      <x:c r="I172" s="11" t="n">
        <x:f>L172*'Summary'!$C$18</x:f>
        <x:v>204561.632571965</x:v>
      </x:c>
      <x:c r="J172" s="11" t="n">
        <x:f>M172*'Summary'!$C$18</x:f>
        <x:v>2000</x:v>
      </x:c>
      <x:c r="K172" s="12" t="n">
        <x:v>331.190368319941</x:v>
      </x:c>
      <x:c r="L172" s="12" t="n">
        <x:v>204.561632571965</x:v>
      </x:c>
      <x:c r="M172" s="12" t="n">
        <x:v>2</x:v>
      </x:c>
      <x:c r="N172" s="2" t="str">
        <x:v>2011-10</x:v>
      </x:c>
    </x:row>
    <x:row r="173" ht="22" customHeight="1">
      <x:c r="A173" s="8" t="d">
        <x:v>2011-11-30T00:00:00.000Z</x:v>
      </x:c>
      <x:c r="B173" s="8" t="d">
        <x:v>2011-11-01T00:00:00.000Z</x:v>
      </x:c>
      <x:c r="C173" s="2" t="str">
        <x:v>HAR-201703</x:v>
      </x:c>
      <x:c r="D173" s="11" t="n">
        <x:f>167*'Summary'!$C$18</x:f>
        <x:v>167000</x:v>
      </x:c>
      <x:c r="E173" s="2" t="n">
        <x:v>500</x:v>
      </x:c>
      <x:c r="F173" s="2" t="n">
        <x:v>485</x:v>
      </x:c>
      <x:c r="G173" s="9" t="n">
        <x:f>F173/E173</x:f>
        <x:v>0.97</x:v>
      </x:c>
      <x:c r="H173" s="11" t="n">
        <x:f>K173*'Summary'!$C$18</x:f>
        <x:v>326720.2089086177</x:v>
      </x:c>
      <x:c r="I173" s="11" t="n">
        <x:f>L173*'Summary'!$C$18</x:f>
        <x:v>204754.599097599</x:v>
      </x:c>
      <x:c r="J173" s="11" t="n">
        <x:f>M173*'Summary'!$C$18</x:f>
        <x:v>2000</x:v>
      </x:c>
      <x:c r="K173" s="12" t="n">
        <x:v>326.7202089086177</x:v>
      </x:c>
      <x:c r="L173" s="12" t="n">
        <x:v>204.75459909759903</x:v>
      </x:c>
      <x:c r="M173" s="12" t="n">
        <x:v>2</x:v>
      </x:c>
      <x:c r="N173" s="2" t="str">
        <x:v>2011-11</x:v>
      </x:c>
    </x:row>
    <x:row r="174" ht="22" customHeight="1">
      <x:c r="A174" s="8" t="d">
        <x:v>2011-12-30T00:00:00.000Z</x:v>
      </x:c>
      <x:c r="B174" s="8" t="d">
        <x:v>2011-12-01T00:00:00.000Z</x:v>
      </x:c>
      <x:c r="C174" s="2" t="str">
        <x:v>EL</x:v>
      </x:c>
      <x:c r="D174" s="11" t="n">
        <x:f>168*'Summary'!$C$18</x:f>
        <x:v>168000</x:v>
      </x:c>
      <x:c r="E174" s="2" t="n">
        <x:v>500</x:v>
      </x:c>
      <x:c r="F174" s="2" t="n">
        <x:v>484</x:v>
      </x:c>
      <x:c r="G174" s="9" t="n">
        <x:f>F174/E174</x:f>
        <x:v>0.968</x:v>
      </x:c>
      <x:c r="H174" s="11" t="n">
        <x:f>K174*'Summary'!$C$18</x:f>
        <x:v>329921.1276934773</x:v>
      </x:c>
      <x:c r="I174" s="11" t="n">
        <x:f>L174*'Summary'!$C$18</x:f>
        <x:v>207905.5319550266</x:v>
      </x:c>
      <x:c r="J174" s="11" t="n">
        <x:f>M174*'Summary'!$C$18</x:f>
        <x:v>2000</x:v>
      </x:c>
      <x:c r="K174" s="12" t="n">
        <x:v>329.92112769347733</x:v>
      </x:c>
      <x:c r="L174" s="12" t="n">
        <x:v>207.90553195502662</x:v>
      </x:c>
      <x:c r="M174" s="12" t="n">
        <x:v>2</x:v>
      </x:c>
      <x:c r="N174" s="2" t="str">
        <x:v>2011-12</x:v>
      </x:c>
    </x:row>
    <x:row r="175" ht="22" customHeight="1">
      <x:c r="A175" s="8" t="d">
        <x:v>2012-01-31T00:00:00.000Z</x:v>
      </x:c>
      <x:c r="B175" s="8" t="d">
        <x:v>2012-01-03T00:00:00.000Z</x:v>
      </x:c>
      <x:c r="C175" s="2" t="str">
        <x:v>TGNA</x:v>
      </x:c>
      <x:c r="D175" s="11" t="n">
        <x:f>169*'Summary'!$C$18</x:f>
        <x:v>169000</x:v>
      </x:c>
      <x:c r="E175" s="2" t="n">
        <x:v>500</x:v>
      </x:c>
      <x:c r="F175" s="2" t="n">
        <x:v>486</x:v>
      </x:c>
      <x:c r="G175" s="9" t="n">
        <x:f>F175/E175</x:f>
        <x:v>0.972</x:v>
      </x:c>
      <x:c r="H175" s="11" t="n">
        <x:f>K175*'Summary'!$C$18</x:f>
        <x:v>354983.5366493658</x:v>
      </x:c>
      <x:c r="I175" s="11" t="n">
        <x:f>L175*'Summary'!$C$18</x:f>
        <x:v>218574.9243809579</x:v>
      </x:c>
      <x:c r="J175" s="11" t="n">
        <x:f>M175*'Summary'!$C$18</x:f>
        <x:v>2000</x:v>
      </x:c>
      <x:c r="K175" s="12" t="n">
        <x:v>354.9835366493658</x:v>
      </x:c>
      <x:c r="L175" s="12" t="n">
        <x:v>218.5749243809579</x:v>
      </x:c>
      <x:c r="M175" s="12" t="n">
        <x:v>2</x:v>
      </x:c>
      <x:c r="N175" s="2" t="str">
        <x:v>2012-01</x:v>
      </x:c>
    </x:row>
    <x:row r="176" ht="22" customHeight="1">
      <x:c r="A176" s="8" t="d">
        <x:v>2012-02-29T00:00:00.000Z</x:v>
      </x:c>
      <x:c r="B176" s="8" t="d">
        <x:v>2012-02-01T00:00:00.000Z</x:v>
      </x:c>
      <x:c r="C176" s="2" t="str">
        <x:v>NFLX</x:v>
      </x:c>
      <x:c r="D176" s="11" t="n">
        <x:f>170*'Summary'!$C$18</x:f>
        <x:v>170000</x:v>
      </x:c>
      <x:c r="E176" s="2" t="n">
        <x:v>500</x:v>
      </x:c>
      <x:c r="F176" s="2" t="n">
        <x:v>487</x:v>
      </x:c>
      <x:c r="G176" s="9" t="n">
        <x:f>F176/E176</x:f>
        <x:v>0.974</x:v>
      </x:c>
      <x:c r="H176" s="11" t="n">
        <x:f>K176*'Summary'!$C$18</x:f>
        <x:v>390594.6976022687</x:v>
      </x:c>
      <x:c r="I176" s="11" t="n">
        <x:f>L176*'Summary'!$C$18</x:f>
        <x:v>229098.0104406054</x:v>
      </x:c>
      <x:c r="J176" s="11" t="n">
        <x:f>M176*'Summary'!$C$18</x:f>
        <x:v>2000</x:v>
      </x:c>
      <x:c r="K176" s="12" t="n">
        <x:v>390.5946976022687</x:v>
      </x:c>
      <x:c r="L176" s="12" t="n">
        <x:v>229.0980104406054</x:v>
      </x:c>
      <x:c r="M176" s="12" t="n">
        <x:v>2</x:v>
      </x:c>
      <x:c r="N176" s="2" t="str">
        <x:v>2012-02</x:v>
      </x:c>
    </x:row>
    <x:row r="177" ht="22" customHeight="1">
      <x:c r="A177" s="8" t="d">
        <x:v>2012-03-30T00:00:00.000Z</x:v>
      </x:c>
      <x:c r="B177" s="8" t="d">
        <x:v>2012-03-01T00:00:00.000Z</x:v>
      </x:c>
      <x:c r="C177" s="2" t="str">
        <x:v>WHR</x:v>
      </x:c>
      <x:c r="D177" s="11" t="n">
        <x:f>171*'Summary'!$C$18</x:f>
        <x:v>171000</x:v>
      </x:c>
      <x:c r="E177" s="2" t="n">
        <x:v>500</x:v>
      </x:c>
      <x:c r="F177" s="2" t="n">
        <x:v>487</x:v>
      </x:c>
      <x:c r="G177" s="9" t="n">
        <x:f>F177/E177</x:f>
        <x:v>0.974</x:v>
      </x:c>
      <x:c r="H177" s="11" t="n">
        <x:f>K177*'Summary'!$C$18</x:f>
        <x:v>409361.5701558387</x:v>
      </x:c>
      <x:c r="I177" s="11" t="n">
        <x:f>L177*'Summary'!$C$18</x:f>
        <x:v>237496.6476433676</x:v>
      </x:c>
      <x:c r="J177" s="11" t="n">
        <x:f>M177*'Summary'!$C$18</x:f>
        <x:v>2000</x:v>
      </x:c>
      <x:c r="K177" s="12" t="n">
        <x:v>409.3615701558387</x:v>
      </x:c>
      <x:c r="L177" s="12" t="n">
        <x:v>237.49664764336762</x:v>
      </x:c>
      <x:c r="M177" s="12" t="n">
        <x:v>2</x:v>
      </x:c>
      <x:c r="N177" s="2" t="str">
        <x:v>2012-03</x:v>
      </x:c>
    </x:row>
    <x:row r="178" ht="22" customHeight="1">
      <x:c r="A178" s="8" t="d">
        <x:v>2012-04-30T00:00:00.000Z</x:v>
      </x:c>
      <x:c r="B178" s="8" t="d">
        <x:v>2012-04-02T00:00:00.000Z</x:v>
      </x:c>
      <x:c r="C178" s="2" t="str">
        <x:v>RHT</x:v>
      </x:c>
      <x:c r="D178" s="11" t="n">
        <x:f>172*'Summary'!$C$18</x:f>
        <x:v>172000</x:v>
      </x:c>
      <x:c r="E178" s="2" t="n">
        <x:v>500</x:v>
      </x:c>
      <x:c r="F178" s="2" t="n">
        <x:v>487</x:v>
      </x:c>
      <x:c r="G178" s="9" t="n">
        <x:f>F178/E178</x:f>
        <x:v>0.974</x:v>
      </x:c>
      <x:c r="H178" s="11" t="n">
        <x:f>K178*'Summary'!$C$18</x:f>
        <x:v>395513.9968890118</x:v>
      </x:c>
      <x:c r="I178" s="11" t="n">
        <x:f>L178*'Summary'!$C$18</x:f>
        <x:v>236905.7210929889</x:v>
      </x:c>
      <x:c r="J178" s="11" t="n">
        <x:f>M178*'Summary'!$C$18</x:f>
        <x:v>2000</x:v>
      </x:c>
      <x:c r="K178" s="12" t="n">
        <x:v>395.5139968890118</x:v>
      </x:c>
      <x:c r="L178" s="12" t="n">
        <x:v>236.9057210929889</x:v>
      </x:c>
      <x:c r="M178" s="12" t="n">
        <x:v>2</x:v>
      </x:c>
      <x:c r="N178" s="2" t="str">
        <x:v>2012-04</x:v>
      </x:c>
    </x:row>
    <x:row r="179" ht="22" customHeight="1">
      <x:c r="A179" s="8" t="d">
        <x:v>2012-05-31T00:00:00.000Z</x:v>
      </x:c>
      <x:c r="B179" s="8" t="d">
        <x:v>2012-05-01T00:00:00.000Z</x:v>
      </x:c>
      <x:c r="C179" s="2" t="str">
        <x:v>EXPE</x:v>
      </x:c>
      <x:c r="D179" s="11" t="n">
        <x:f>173*'Summary'!$C$18</x:f>
        <x:v>173000</x:v>
      </x:c>
      <x:c r="E179" s="2" t="n">
        <x:v>500</x:v>
      </x:c>
      <x:c r="F179" s="2" t="n">
        <x:v>487</x:v>
      </x:c>
      <x:c r="G179" s="9" t="n">
        <x:f>F179/E179</x:f>
        <x:v>0.974</x:v>
      </x:c>
      <x:c r="H179" s="11" t="n">
        <x:f>K179*'Summary'!$C$18</x:f>
        <x:v>375854.2042382145</x:v>
      </x:c>
      <x:c r="I179" s="11" t="n">
        <x:f>L179*'Summary'!$C$18</x:f>
        <x:v>223618.6585746504</x:v>
      </x:c>
      <x:c r="J179" s="11" t="n">
        <x:f>M179*'Summary'!$C$18</x:f>
        <x:v>2000</x:v>
      </x:c>
      <x:c r="K179" s="12" t="n">
        <x:v>375.8542042382145</x:v>
      </x:c>
      <x:c r="L179" s="12" t="n">
        <x:v>223.61865857465042</x:v>
      </x:c>
      <x:c r="M179" s="12" t="n">
        <x:v>2</x:v>
      </x:c>
      <x:c r="N179" s="2" t="str">
        <x:v>2012-05</x:v>
      </x:c>
    </x:row>
    <x:row r="180" ht="22" customHeight="1">
      <x:c r="A180" s="8" t="d">
        <x:v>2012-06-29T00:00:00.000Z</x:v>
      </x:c>
      <x:c r="B180" s="8" t="d">
        <x:v>2012-06-01T00:00:00.000Z</x:v>
      </x:c>
      <x:c r="C180" s="2" t="str">
        <x:v>DF</x:v>
      </x:c>
      <x:c r="D180" s="11" t="n">
        <x:f>174*'Summary'!$C$18</x:f>
        <x:v>174000</x:v>
      </x:c>
      <x:c r="E180" s="2" t="n">
        <x:v>500</x:v>
      </x:c>
      <x:c r="F180" s="2" t="n">
        <x:v>489</x:v>
      </x:c>
      <x:c r="G180" s="9" t="n">
        <x:f>F180/E180</x:f>
        <x:v>0.978</x:v>
      </x:c>
      <x:c r="H180" s="11" t="n">
        <x:f>K180*'Summary'!$C$18</x:f>
        <x:v>389913.4094421851</x:v>
      </x:c>
      <x:c r="I180" s="11" t="n">
        <x:f>L180*'Summary'!$C$18</x:f>
        <x:v>233750.494517036</x:v>
      </x:c>
      <x:c r="J180" s="11" t="n">
        <x:f>M180*'Summary'!$C$18</x:f>
        <x:v>2000</x:v>
      </x:c>
      <x:c r="K180" s="12" t="n">
        <x:v>389.91340944218507</x:v>
      </x:c>
      <x:c r="L180" s="12" t="n">
        <x:v>233.75049451703597</x:v>
      </x:c>
      <x:c r="M180" s="12" t="n">
        <x:v>2</x:v>
      </x:c>
      <x:c r="N180" s="2" t="str">
        <x:v>2012-06</x:v>
      </x:c>
    </x:row>
    <x:row r="181" ht="22" customHeight="1">
      <x:c r="A181" s="8" t="d">
        <x:v>2012-07-31T00:00:00.000Z</x:v>
      </x:c>
      <x:c r="B181" s="8" t="d">
        <x:v>2012-07-02T00:00:00.000Z</x:v>
      </x:c>
      <x:c r="C181" s="2" t="str">
        <x:v>STZ</x:v>
      </x:c>
      <x:c r="D181" s="11" t="n">
        <x:f>175*'Summary'!$C$18</x:f>
        <x:v>175000</x:v>
      </x:c>
      <x:c r="E181" s="2" t="n">
        <x:v>500</x:v>
      </x:c>
      <x:c r="F181" s="2" t="n">
        <x:v>489</x:v>
      </x:c>
      <x:c r="G181" s="9" t="n">
        <x:f>F181/E181</x:f>
        <x:v>0.978</x:v>
      </x:c>
      <x:c r="H181" s="11" t="n">
        <x:f>K181*'Summary'!$C$18</x:f>
        <x:v>392560.5576934956</x:v>
      </x:c>
      <x:c r="I181" s="11" t="n">
        <x:f>L181*'Summary'!$C$18</x:f>
        <x:v>237524.6679798376</x:v>
      </x:c>
      <x:c r="J181" s="11" t="n">
        <x:f>M181*'Summary'!$C$18</x:f>
        <x:v>2000</x:v>
      </x:c>
      <x:c r="K181" s="12" t="n">
        <x:v>392.5605576934956</x:v>
      </x:c>
      <x:c r="L181" s="12" t="n">
        <x:v>237.5246679798376</x:v>
      </x:c>
      <x:c r="M181" s="12" t="n">
        <x:v>2</x:v>
      </x:c>
      <x:c r="N181" s="2" t="str">
        <x:v>2012-07</x:v>
      </x:c>
    </x:row>
    <x:row r="182" ht="22" customHeight="1">
      <x:c r="A182" s="8" t="d">
        <x:v>2012-08-31T00:00:00.000Z</x:v>
      </x:c>
      <x:c r="B182" s="8" t="d">
        <x:v>2012-08-01T00:00:00.000Z</x:v>
      </x:c>
      <x:c r="C182" s="2" t="str">
        <x:v>TMUS</x:v>
      </x:c>
      <x:c r="D182" s="11" t="n">
        <x:f>176*'Summary'!$C$18</x:f>
        <x:v>176000</x:v>
      </x:c>
      <x:c r="E182" s="2" t="n">
        <x:v>500</x:v>
      </x:c>
      <x:c r="F182" s="2" t="n">
        <x:v>491</x:v>
      </x:c>
      <x:c r="G182" s="9" t="n">
        <x:f>F182/E182</x:f>
        <x:v>0.982</x:v>
      </x:c>
      <x:c r="H182" s="11" t="n">
        <x:f>K182*'Summary'!$C$18</x:f>
        <x:v>415083.0706044766</x:v>
      </x:c>
      <x:c r="I182" s="11" t="n">
        <x:f>L182*'Summary'!$C$18</x:f>
        <x:v>244493.0202255415</x:v>
      </x:c>
      <x:c r="J182" s="11" t="n">
        <x:f>M182*'Summary'!$C$18</x:f>
        <x:v>2000</x:v>
      </x:c>
      <x:c r="K182" s="12" t="n">
        <x:v>415.08307060447663</x:v>
      </x:c>
      <x:c r="L182" s="12" t="n">
        <x:v>244.4930202255415</x:v>
      </x:c>
      <x:c r="M182" s="12" t="n">
        <x:v>2</x:v>
      </x:c>
      <x:c r="N182" s="2" t="str">
        <x:v>2012-08</x:v>
      </x:c>
    </x:row>
    <x:row r="183" ht="22" customHeight="1">
      <x:c r="A183" s="8" t="d">
        <x:v>2012-09-28T00:00:00.000Z</x:v>
      </x:c>
      <x:c r="B183" s="8" t="d">
        <x:v>2012-09-04T00:00:00.000Z</x:v>
      </x:c>
      <x:c r="C183" s="2" t="str">
        <x:v>ANDV-201809</x:v>
      </x:c>
      <x:c r="D183" s="11" t="n">
        <x:f>177*'Summary'!$C$18</x:f>
        <x:v>177000</x:v>
      </x:c>
      <x:c r="E183" s="2" t="n">
        <x:v>500</x:v>
      </x:c>
      <x:c r="F183" s="2" t="n">
        <x:v>491</x:v>
      </x:c>
      <x:c r="G183" s="9" t="n">
        <x:f>F183/E183</x:f>
        <x:v>0.982</x:v>
      </x:c>
      <x:c r="H183" s="11" t="n">
        <x:f>K183*'Summary'!$C$18</x:f>
        <x:v>421688.5683855478</x:v>
      </x:c>
      <x:c r="I183" s="11" t="n">
        <x:f>L183*'Summary'!$C$18</x:f>
        <x:v>251717.3552687482</x:v>
      </x:c>
      <x:c r="J183" s="11" t="n">
        <x:f>M183*'Summary'!$C$18</x:f>
        <x:v>2000</x:v>
      </x:c>
      <x:c r="K183" s="12" t="n">
        <x:v>421.6885683855478</x:v>
      </x:c>
      <x:c r="L183" s="12" t="n">
        <x:v>251.71735526874818</x:v>
      </x:c>
      <x:c r="M183" s="12" t="n">
        <x:v>2</x:v>
      </x:c>
      <x:c r="N183" s="2" t="str">
        <x:v>2012-09</x:v>
      </x:c>
    </x:row>
    <x:row r="184" ht="22" customHeight="1">
      <x:c r="A184" s="8" t="d">
        <x:v>2012-10-31T00:00:00.000Z</x:v>
      </x:c>
      <x:c r="B184" s="8" t="d">
        <x:v>2012-10-01T00:00:00.000Z</x:v>
      </x:c>
      <x:c r="C184" s="2" t="str">
        <x:v>VMC</x:v>
      </x:c>
      <x:c r="D184" s="11" t="n">
        <x:f>178*'Summary'!$C$18</x:f>
        <x:v>178000</x:v>
      </x:c>
      <x:c r="E184" s="2" t="n">
        <x:v>500</x:v>
      </x:c>
      <x:c r="F184" s="2" t="n">
        <x:v>492</x:v>
      </x:c>
      <x:c r="G184" s="9" t="n">
        <x:f>F184/E184</x:f>
        <x:v>0.984</x:v>
      </x:c>
      <x:c r="H184" s="11" t="n">
        <x:f>K184*'Summary'!$C$18</x:f>
        <x:v>397903.1433035778</x:v>
      </x:c>
      <x:c r="I184" s="11" t="n">
        <x:f>L184*'Summary'!$C$18</x:f>
        <x:v>248114.6174043775</x:v>
      </x:c>
      <x:c r="J184" s="11" t="n">
        <x:f>M184*'Summary'!$C$18</x:f>
        <x:v>2000</x:v>
      </x:c>
      <x:c r="K184" s="12" t="n">
        <x:v>397.9031433035778</x:v>
      </x:c>
      <x:c r="L184" s="12" t="n">
        <x:v>248.1146174043775</x:v>
      </x:c>
      <x:c r="M184" s="12" t="n">
        <x:v>2</x:v>
      </x:c>
      <x:c r="N184" s="2" t="str">
        <x:v>2012-10</x:v>
      </x:c>
    </x:row>
    <x:row r="185" ht="22" customHeight="1">
      <x:c r="A185" s="8" t="d">
        <x:v>2012-11-30T00:00:00.000Z</x:v>
      </x:c>
      <x:c r="B185" s="8" t="d">
        <x:v>2012-11-01T00:00:00.000Z</x:v>
      </x:c>
      <x:c r="C185" s="2" t="str">
        <x:v>NFLX</x:v>
      </x:c>
      <x:c r="D185" s="11" t="n">
        <x:f>179*'Summary'!$C$18</x:f>
        <x:v>179000</x:v>
      </x:c>
      <x:c r="E185" s="2" t="n">
        <x:v>500</x:v>
      </x:c>
      <x:c r="F185" s="2" t="n">
        <x:v>492</x:v>
      </x:c>
      <x:c r="G185" s="9" t="n">
        <x:f>F185/E185</x:f>
        <x:v>0.984</x:v>
      </x:c>
      <x:c r="H185" s="11" t="n">
        <x:f>K185*'Summary'!$C$18</x:f>
        <x:v>402793.2265421702</x:v>
      </x:c>
      <x:c r="I185" s="11" t="n">
        <x:f>L185*'Summary'!$C$18</x:f>
        <x:v>250522.3825112891</x:v>
      </x:c>
      <x:c r="J185" s="11" t="n">
        <x:f>M185*'Summary'!$C$18</x:f>
        <x:v>2000</x:v>
      </x:c>
      <x:c r="K185" s="12" t="n">
        <x:v>402.7932265421702</x:v>
      </x:c>
      <x:c r="L185" s="12" t="n">
        <x:v>250.5223825112891</x:v>
      </x:c>
      <x:c r="M185" s="12" t="n">
        <x:v>2</x:v>
      </x:c>
      <x:c r="N185" s="2" t="str">
        <x:v>2012-11</x:v>
      </x:c>
    </x:row>
    <x:row r="186" ht="22" customHeight="1">
      <x:c r="A186" s="8" t="d">
        <x:v>2012-12-31T00:00:00.000Z</x:v>
      </x:c>
      <x:c r="B186" s="8" t="d">
        <x:v>2012-12-03T00:00:00.000Z</x:v>
      </x:c>
      <x:c r="C186" s="2" t="str">
        <x:v>ANF</x:v>
      </x:c>
      <x:c r="D186" s="11" t="n">
        <x:f>180*'Summary'!$C$18</x:f>
        <x:v>180000</x:v>
      </x:c>
      <x:c r="E186" s="2" t="n">
        <x:v>500</x:v>
      </x:c>
      <x:c r="F186" s="2" t="n">
        <x:v>493</x:v>
      </x:c>
      <x:c r="G186" s="9" t="n">
        <x:f>F186/E186</x:f>
        <x:v>0.986</x:v>
      </x:c>
      <x:c r="H186" s="11" t="n">
        <x:f>K186*'Summary'!$C$18</x:f>
        <x:v>398392.6738297413</x:v>
      </x:c>
      <x:c r="I186" s="11" t="n">
        <x:f>L186*'Summary'!$C$18</x:f>
        <x:v>253765.0144584588</x:v>
      </x:c>
      <x:c r="J186" s="11" t="n">
        <x:f>M186*'Summary'!$C$18</x:f>
        <x:v>2000</x:v>
      </x:c>
      <x:c r="K186" s="12" t="n">
        <x:v>398.3926738297413</x:v>
      </x:c>
      <x:c r="L186" s="12" t="n">
        <x:v>253.7650144584588</x:v>
      </x:c>
      <x:c r="M186" s="12" t="n">
        <x:v>2</x:v>
      </x:c>
      <x:c r="N186" s="2" t="str">
        <x:v>2012-12</x:v>
      </x:c>
    </x:row>
    <x:row r="187" ht="22" customHeight="1">
      <x:c r="A187" s="8" t="d">
        <x:v>2013-01-31T00:00:00.000Z</x:v>
      </x:c>
      <x:c r="B187" s="8" t="d">
        <x:v>2013-01-02T00:00:00.000Z</x:v>
      </x:c>
      <x:c r="C187" s="2" t="str">
        <x:v>NYX-201311</x:v>
      </x:c>
      <x:c r="D187" s="11" t="n">
        <x:f>181*'Summary'!$C$18</x:f>
        <x:v>181000</x:v>
      </x:c>
      <x:c r="E187" s="2" t="n">
        <x:v>500</x:v>
      </x:c>
      <x:c r="F187" s="2" t="n">
        <x:v>494</x:v>
      </x:c>
      <x:c r="G187" s="9" t="n">
        <x:f>F187/E187</x:f>
        <x:v>0.988</x:v>
      </x:c>
      <x:c r="H187" s="11" t="n">
        <x:f>K187*'Summary'!$C$18</x:f>
        <x:v>397797.1443293092</x:v>
      </x:c>
      <x:c r="I187" s="11" t="n">
        <x:f>L187*'Summary'!$C$18</x:f>
        <x:v>267786.9216012889</x:v>
      </x:c>
      <x:c r="J187" s="11" t="n">
        <x:f>M187*'Summary'!$C$18</x:f>
        <x:v>3000</x:v>
      </x:c>
      <x:c r="K187" s="12" t="n">
        <x:v>397.79714432930916</x:v>
      </x:c>
      <x:c r="L187" s="12" t="n">
        <x:v>267.7869216012889</x:v>
      </x:c>
      <x:c r="M187" s="12" t="n">
        <x:v>3</x:v>
      </x:c>
      <x:c r="N187" s="2" t="str">
        <x:v>2013-01</x:v>
      </x:c>
    </x:row>
    <x:row r="188" ht="22" customHeight="1">
      <x:c r="A188" s="8" t="d">
        <x:v>2013-02-28T00:00:00.000Z</x:v>
      </x:c>
      <x:c r="B188" s="8" t="d">
        <x:v>2013-02-01T00:00:00.000Z</x:v>
      </x:c>
      <x:c r="C188" s="2" t="str">
        <x:v>NFLX</x:v>
      </x:c>
      <x:c r="D188" s="11" t="n">
        <x:f>182*'Summary'!$C$18</x:f>
        <x:v>182000</x:v>
      </x:c>
      <x:c r="E188" s="2" t="n">
        <x:v>500</x:v>
      </x:c>
      <x:c r="F188" s="2" t="n">
        <x:v>493</x:v>
      </x:c>
      <x:c r="G188" s="9" t="n">
        <x:f>F188/E188</x:f>
        <x:v>0.986</x:v>
      </x:c>
      <x:c r="H188" s="11" t="n">
        <x:f>K188*'Summary'!$C$18</x:f>
        <x:v>396092.182732571</x:v>
      </x:c>
      <x:c r="I188" s="11" t="n">
        <x:f>L188*'Summary'!$C$18</x:f>
        <x:v>272209.954094539</x:v>
      </x:c>
      <x:c r="J188" s="11" t="n">
        <x:f>M188*'Summary'!$C$18</x:f>
        <x:v>3000</x:v>
      </x:c>
      <x:c r="K188" s="12" t="n">
        <x:v>396.09218273257096</x:v>
      </x:c>
      <x:c r="L188" s="12" t="n">
        <x:v>272.209954094539</x:v>
      </x:c>
      <x:c r="M188" s="12" t="n">
        <x:v>3</x:v>
      </x:c>
      <x:c r="N188" s="2" t="str">
        <x:v>2013-02</x:v>
      </x:c>
    </x:row>
    <x:row r="189" ht="22" customHeight="1">
      <x:c r="A189" s="8" t="d">
        <x:v>2013-03-28T00:00:00.000Z</x:v>
      </x:c>
      <x:c r="B189" s="8" t="d">
        <x:v>2013-03-01T00:00:00.000Z</x:v>
      </x:c>
      <x:c r="C189" s="2" t="str">
        <x:v>STZ</x:v>
      </x:c>
      <x:c r="D189" s="11" t="n">
        <x:f>183*'Summary'!$C$18</x:f>
        <x:v>183000</x:v>
      </x:c>
      <x:c r="E189" s="2" t="n">
        <x:v>500</x:v>
      </x:c>
      <x:c r="F189" s="2" t="n">
        <x:v>494</x:v>
      </x:c>
      <x:c r="G189" s="9" t="n">
        <x:f>F189/E189</x:f>
        <x:v>0.988</x:v>
      </x:c>
      <x:c r="H189" s="11" t="n">
        <x:f>K189*'Summary'!$C$18</x:f>
        <x:v>407020.0945239933</x:v>
      </x:c>
      <x:c r="I189" s="11" t="n">
        <x:f>L189*'Summary'!$C$18</x:f>
        <x:v>283587.6430341706</x:v>
      </x:c>
      <x:c r="J189" s="11" t="n">
        <x:f>M189*'Summary'!$C$18</x:f>
        <x:v>3000</x:v>
      </x:c>
      <x:c r="K189" s="12" t="n">
        <x:v>407.0200945239933</x:v>
      </x:c>
      <x:c r="L189" s="12" t="n">
        <x:v>283.58764303417064</x:v>
      </x:c>
      <x:c r="M189" s="12" t="n">
        <x:v>3</x:v>
      </x:c>
      <x:c r="N189" s="2" t="str">
        <x:v>2013-03</x:v>
      </x:c>
    </x:row>
    <x:row r="190" ht="22" customHeight="1">
      <x:c r="A190" s="8" t="d">
        <x:v>2013-04-30T00:00:00.000Z</x:v>
      </x:c>
      <x:c r="B190" s="8" t="d">
        <x:v>2013-04-01T00:00:00.000Z</x:v>
      </x:c>
      <x:c r="C190" s="2" t="str">
        <x:v>BBY</x:v>
      </x:c>
      <x:c r="D190" s="11" t="n">
        <x:f>184*'Summary'!$C$18</x:f>
        <x:v>184000</x:v>
      </x:c>
      <x:c r="E190" s="2" t="n">
        <x:v>500</x:v>
      </x:c>
      <x:c r="F190" s="2" t="n">
        <x:v>494</x:v>
      </x:c>
      <x:c r="G190" s="9" t="n">
        <x:f>F190/E190</x:f>
        <x:v>0.988</x:v>
      </x:c>
      <x:c r="H190" s="11" t="n">
        <x:f>K190*'Summary'!$C$18</x:f>
        <x:v>409657.3332225458</x:v>
      </x:c>
      <x:c r="I190" s="11" t="n">
        <x:f>L190*'Summary'!$C$18</x:f>
        <x:v>290055.753283248</x:v>
      </x:c>
      <x:c r="J190" s="11" t="n">
        <x:f>M190*'Summary'!$C$18</x:f>
        <x:v>3000</x:v>
      </x:c>
      <x:c r="K190" s="12" t="n">
        <x:v>409.6573332225458</x:v>
      </x:c>
      <x:c r="L190" s="12" t="n">
        <x:v>290.055753283248</x:v>
      </x:c>
      <x:c r="M190" s="12" t="n">
        <x:v>3</x:v>
      </x:c>
      <x:c r="N190" s="2" t="str">
        <x:v>2013-04</x:v>
      </x:c>
    </x:row>
    <x:row r="191" ht="22" customHeight="1">
      <x:c r="A191" s="8" t="d">
        <x:v>2013-05-31T00:00:00.000Z</x:v>
      </x:c>
      <x:c r="B191" s="8" t="d">
        <x:v>2013-05-01T00:00:00.000Z</x:v>
      </x:c>
      <x:c r="C191" s="2" t="str">
        <x:v>FSLR</x:v>
      </x:c>
      <x:c r="D191" s="11" t="n">
        <x:f>185*'Summary'!$C$18</x:f>
        <x:v>185000</x:v>
      </x:c>
      <x:c r="E191" s="2" t="n">
        <x:v>500</x:v>
      </x:c>
      <x:c r="F191" s="2" t="n">
        <x:v>494</x:v>
      </x:c>
      <x:c r="G191" s="9" t="n">
        <x:f>F191/E191</x:f>
        <x:v>0.988</x:v>
      </x:c>
      <x:c r="H191" s="11" t="n">
        <x:f>K191*'Summary'!$C$18</x:f>
        <x:v>422541.4410374248</x:v>
      </x:c>
      <x:c r="I191" s="11" t="n">
        <x:f>L191*'Summary'!$C$18</x:f>
        <x:v>297929.7545652847</x:v>
      </x:c>
      <x:c r="J191" s="11" t="n">
        <x:f>M191*'Summary'!$C$18</x:f>
        <x:v>3000</x:v>
      </x:c>
      <x:c r="K191" s="12" t="n">
        <x:v>422.54144103742476</x:v>
      </x:c>
      <x:c r="L191" s="12" t="n">
        <x:v>297.9297545652847</x:v>
      </x:c>
      <x:c r="M191" s="12" t="n">
        <x:v>3</x:v>
      </x:c>
      <x:c r="N191" s="2" t="str">
        <x:v>2013-05</x:v>
      </x:c>
    </x:row>
    <x:row r="192" ht="22" customHeight="1">
      <x:c r="A192" s="8" t="d">
        <x:v>2013-06-28T00:00:00.000Z</x:v>
      </x:c>
      <x:c r="B192" s="8" t="d">
        <x:v>2013-06-03T00:00:00.000Z</x:v>
      </x:c>
      <x:c r="C192" s="2" t="str">
        <x:v>AMD</x:v>
      </x:c>
      <x:c r="D192" s="11" t="n">
        <x:f>186*'Summary'!$C$18</x:f>
        <x:v>186000</x:v>
      </x:c>
      <x:c r="E192" s="2" t="n">
        <x:v>500</x:v>
      </x:c>
      <x:c r="F192" s="2" t="n">
        <x:v>494</x:v>
      </x:c>
      <x:c r="G192" s="9" t="n">
        <x:f>F192/E192</x:f>
        <x:v>0.988</x:v>
      </x:c>
      <x:c r="H192" s="11" t="n">
        <x:f>K192*'Summary'!$C$18</x:f>
        <x:v>403439.8791011476</x:v>
      </x:c>
      <x:c r="I192" s="11" t="n">
        <x:f>L192*'Summary'!$C$18</x:f>
        <x:v>294938.3911829427</x:v>
      </x:c>
      <x:c r="J192" s="11" t="n">
        <x:f>M192*'Summary'!$C$18</x:f>
        <x:v>3000</x:v>
      </x:c>
      <x:c r="K192" s="12" t="n">
        <x:v>403.4398791011476</x:v>
      </x:c>
      <x:c r="L192" s="12" t="n">
        <x:v>294.9383911829427</x:v>
      </x:c>
      <x:c r="M192" s="12" t="n">
        <x:v>3</x:v>
      </x:c>
      <x:c r="N192" s="2" t="str">
        <x:v>2013-06</x:v>
      </x:c>
    </x:row>
    <x:row r="193" ht="22" customHeight="1">
      <x:c r="A193" s="8" t="d">
        <x:v>2013-07-31T00:00:00.000Z</x:v>
      </x:c>
      <x:c r="B193" s="8" t="d">
        <x:v>2013-07-01T00:00:00.000Z</x:v>
      </x:c>
      <x:c r="C193" s="2" t="str">
        <x:v>GME</x:v>
      </x:c>
      <x:c r="D193" s="11" t="n">
        <x:f>187*'Summary'!$C$18</x:f>
        <x:v>187000</x:v>
      </x:c>
      <x:c r="E193" s="2" t="n">
        <x:v>500</x:v>
      </x:c>
      <x:c r="F193" s="2" t="n">
        <x:v>494</x:v>
      </x:c>
      <x:c r="G193" s="9" t="n">
        <x:f>F193/E193</x:f>
        <x:v>0.988</x:v>
      </x:c>
      <x:c r="H193" s="11" t="n">
        <x:f>K193*'Summary'!$C$18</x:f>
        <x:v>435467.9579644212</x:v>
      </x:c>
      <x:c r="I193" s="11" t="n">
        <x:f>L193*'Summary'!$C$18</x:f>
        <x:v>311226.0923200737</x:v>
      </x:c>
      <x:c r="J193" s="11" t="n">
        <x:f>M193*'Summary'!$C$18</x:f>
        <x:v>3000</x:v>
      </x:c>
      <x:c r="K193" s="12" t="n">
        <x:v>435.4679579644212</x:v>
      </x:c>
      <x:c r="L193" s="12" t="n">
        <x:v>311.2260923200737</x:v>
      </x:c>
      <x:c r="M193" s="12" t="n">
        <x:v>3</x:v>
      </x:c>
      <x:c r="N193" s="2" t="str">
        <x:v>2013-07</x:v>
      </x:c>
    </x:row>
    <x:row r="194" ht="22" customHeight="1">
      <x:c r="A194" s="8" t="d">
        <x:v>2013-08-30T00:00:00.000Z</x:v>
      </x:c>
      <x:c r="B194" s="8" t="d">
        <x:v>2013-08-01T00:00:00.000Z</x:v>
      </x:c>
      <x:c r="C194" s="2" t="str">
        <x:v>OKE</x:v>
      </x:c>
      <x:c r="D194" s="11" t="n">
        <x:f>188*'Summary'!$C$18</x:f>
        <x:v>188000</x:v>
      </x:c>
      <x:c r="E194" s="2" t="n">
        <x:v>500</x:v>
      </x:c>
      <x:c r="F194" s="2" t="n">
        <x:v>494</x:v>
      </x:c>
      <x:c r="G194" s="9" t="n">
        <x:f>F194/E194</x:f>
        <x:v>0.988</x:v>
      </x:c>
      <x:c r="H194" s="11" t="n">
        <x:f>K194*'Summary'!$C$18</x:f>
        <x:v>435690.2992731547</x:v>
      </x:c>
      <x:c r="I194" s="11" t="n">
        <x:f>L194*'Summary'!$C$18</x:f>
        <x:v>302854.3880605515</x:v>
      </x:c>
      <x:c r="J194" s="11" t="n">
        <x:f>M194*'Summary'!$C$18</x:f>
        <x:v>3000</x:v>
      </x:c>
      <x:c r="K194" s="12" t="n">
        <x:v>435.6902992731547</x:v>
      </x:c>
      <x:c r="L194" s="12" t="n">
        <x:v>302.8543880605515</x:v>
      </x:c>
      <x:c r="M194" s="12" t="n">
        <x:v>3</x:v>
      </x:c>
      <x:c r="N194" s="2" t="str">
        <x:v>2013-08</x:v>
      </x:c>
    </x:row>
    <x:row r="195" ht="22" customHeight="1">
      <x:c r="A195" s="8" t="d">
        <x:v>2013-09-30T00:00:00.000Z</x:v>
      </x:c>
      <x:c r="B195" s="8" t="d">
        <x:v>2013-09-03T00:00:00.000Z</x:v>
      </x:c>
      <x:c r="C195" s="2" t="str">
        <x:v>BBY</x:v>
      </x:c>
      <x:c r="D195" s="11" t="n">
        <x:f>189*'Summary'!$C$18</x:f>
        <x:v>189000</x:v>
      </x:c>
      <x:c r="E195" s="2" t="n">
        <x:v>500</x:v>
      </x:c>
      <x:c r="F195" s="2" t="n">
        <x:v>494</x:v>
      </x:c>
      <x:c r="G195" s="9" t="n">
        <x:f>F195/E195</x:f>
        <x:v>0.988</x:v>
      </x:c>
      <x:c r="H195" s="11" t="n">
        <x:f>K195*'Summary'!$C$18</x:f>
        <x:v>450623.2321491902</x:v>
      </x:c>
      <x:c r="I195" s="11" t="n">
        <x:f>L195*'Summary'!$C$18</x:f>
        <x:v>313460.4189663149</x:v>
      </x:c>
      <x:c r="J195" s="11" t="n">
        <x:f>M195*'Summary'!$C$18</x:f>
        <x:v>3000</x:v>
      </x:c>
      <x:c r="K195" s="12" t="n">
        <x:v>450.6232321491902</x:v>
      </x:c>
      <x:c r="L195" s="12" t="n">
        <x:v>313.4604189663149</x:v>
      </x:c>
      <x:c r="M195" s="12" t="n">
        <x:v>3</x:v>
      </x:c>
      <x:c r="N195" s="2" t="str">
        <x:v>2013-09</x:v>
      </x:c>
    </x:row>
    <x:row r="196" ht="22" customHeight="1">
      <x:c r="A196" s="8" t="d">
        <x:v>2013-10-31T00:00:00.000Z</x:v>
      </x:c>
      <x:c r="B196" s="8" t="d">
        <x:v>2013-10-01T00:00:00.000Z</x:v>
      </x:c>
      <x:c r="C196" s="2" t="str">
        <x:v>REGN</x:v>
      </x:c>
      <x:c r="D196" s="11" t="n">
        <x:f>190*'Summary'!$C$18</x:f>
        <x:v>190000</x:v>
      </x:c>
      <x:c r="E196" s="2" t="n">
        <x:v>500</x:v>
      </x:c>
      <x:c r="F196" s="2" t="n">
        <x:v>495</x:v>
      </x:c>
      <x:c r="G196" s="9" t="n">
        <x:f>F196/E196</x:f>
        <x:v>0.99</x:v>
      </x:c>
      <x:c r="H196" s="11" t="n">
        <x:f>K196*'Summary'!$C$18</x:f>
        <x:v>472714.986694173</x:v>
      </x:c>
      <x:c r="I196" s="11" t="n">
        <x:f>L196*'Summary'!$C$18</x:f>
        <x:v>329021.2536544548</x:v>
      </x:c>
      <x:c r="J196" s="11" t="n">
        <x:f>M196*'Summary'!$C$18</x:f>
        <x:v>4000</x:v>
      </x:c>
      <x:c r="K196" s="12" t="n">
        <x:v>472.71498669417304</x:v>
      </x:c>
      <x:c r="L196" s="12" t="n">
        <x:v>329.02125365445477</x:v>
      </x:c>
      <x:c r="M196" s="12" t="n">
        <x:v>4</x:v>
      </x:c>
      <x:c r="N196" s="2" t="str">
        <x:v>2013-10</x:v>
      </x:c>
    </x:row>
    <x:row r="197" ht="22" customHeight="1">
      <x:c r="A197" s="8" t="d">
        <x:v>2013-11-29T00:00:00.000Z</x:v>
      </x:c>
      <x:c r="B197" s="8" t="d">
        <x:v>2013-11-01T00:00:00.000Z</x:v>
      </x:c>
      <x:c r="C197" s="2" t="str">
        <x:v>CLF</x:v>
      </x:c>
      <x:c r="D197" s="11" t="n">
        <x:f>191*'Summary'!$C$18</x:f>
        <x:v>191000</x:v>
      </x:c>
      <x:c r="E197" s="2" t="n">
        <x:v>500</x:v>
      </x:c>
      <x:c r="F197" s="2" t="n">
        <x:v>495</x:v>
      </x:c>
      <x:c r="G197" s="9" t="n">
        <x:f>F197/E197</x:f>
        <x:v>0.99</x:v>
      </x:c>
      <x:c r="H197" s="11" t="n">
        <x:f>K197*'Summary'!$C$18</x:f>
        <x:v>497201.2708067235</x:v>
      </x:c>
      <x:c r="I197" s="11" t="n">
        <x:f>L197*'Summary'!$C$18</x:f>
        <x:v>339800.9708993146</x:v>
      </x:c>
      <x:c r="J197" s="11" t="n">
        <x:f>M197*'Summary'!$C$18</x:f>
        <x:v>5000</x:v>
      </x:c>
      <x:c r="K197" s="12" t="n">
        <x:v>497.2012708067235</x:v>
      </x:c>
      <x:c r="L197" s="12" t="n">
        <x:v>339.8009708993146</x:v>
      </x:c>
      <x:c r="M197" s="12" t="n">
        <x:v>5</x:v>
      </x:c>
      <x:c r="N197" s="2" t="str">
        <x:v>2013-11</x:v>
      </x:c>
    </x:row>
    <x:row r="198" ht="22" customHeight="1">
      <x:c r="A198" s="8" t="d">
        <x:v>2013-12-31T00:00:00.000Z</x:v>
      </x:c>
      <x:c r="B198" s="8" t="d">
        <x:v>2013-12-02T00:00:00.000Z</x:v>
      </x:c>
      <x:c r="C198" s="2" t="str">
        <x:v>JCP</x:v>
      </x:c>
      <x:c r="D198" s="11" t="n">
        <x:f>192*'Summary'!$C$18</x:f>
        <x:v>192000</x:v>
      </x:c>
      <x:c r="E198" s="2" t="n">
        <x:v>500</x:v>
      </x:c>
      <x:c r="F198" s="2" t="n">
        <x:v>495</x:v>
      </x:c>
      <x:c r="G198" s="9" t="n">
        <x:f>F198/E198</x:f>
        <x:v>0.99</x:v>
      </x:c>
      <x:c r="H198" s="11" t="n">
        <x:f>K198*'Summary'!$C$18</x:f>
        <x:v>510475.8742475142</x:v>
      </x:c>
      <x:c r="I198" s="11" t="n">
        <x:f>L198*'Summary'!$C$18</x:f>
        <x:v>349636.2362933775</x:v>
      </x:c>
      <x:c r="J198" s="11" t="n">
        <x:f>M198*'Summary'!$C$18</x:f>
        <x:v>5000</x:v>
      </x:c>
      <x:c r="K198" s="12" t="n">
        <x:v>510.4758742475142</x:v>
      </x:c>
      <x:c r="L198" s="12" t="n">
        <x:v>349.63623629337746</x:v>
      </x:c>
      <x:c r="M198" s="12" t="n">
        <x:v>5</x:v>
      </x:c>
      <x:c r="N198" s="2" t="str">
        <x:v>2013-12</x:v>
      </x:c>
    </x:row>
    <x:row r="199" ht="22" customHeight="1">
      <x:c r="A199" s="8" t="d">
        <x:v>2014-01-31T00:00:00.000Z</x:v>
      </x:c>
      <x:c r="B199" s="8" t="d">
        <x:v>2014-01-02T00:00:00.000Z</x:v>
      </x:c>
      <x:c r="C199" s="2" t="str">
        <x:v>RHT</x:v>
      </x:c>
      <x:c r="D199" s="11" t="n">
        <x:f>193*'Summary'!$C$18</x:f>
        <x:v>193000</x:v>
      </x:c>
      <x:c r="E199" s="2" t="n">
        <x:v>500</x:v>
      </x:c>
      <x:c r="F199" s="2" t="n">
        <x:v>496</x:v>
      </x:c>
      <x:c r="G199" s="9" t="n">
        <x:f>F199/E199</x:f>
        <x:v>0.992</x:v>
      </x:c>
      <x:c r="H199" s="11" t="n">
        <x:f>K199*'Summary'!$C$18</x:f>
        <x:v>481516.2714134043</x:v>
      </x:c>
      <x:c r="I199" s="11" t="n">
        <x:f>L199*'Summary'!$C$18</x:f>
        <x:v>338280.6259798514</x:v>
      </x:c>
      <x:c r="J199" s="11" t="n">
        <x:f>M199*'Summary'!$C$18</x:f>
        <x:v>5000</x:v>
      </x:c>
      <x:c r="K199" s="12" t="n">
        <x:v>481.5162714134043</x:v>
      </x:c>
      <x:c r="L199" s="12" t="n">
        <x:v>338.2806259798514</x:v>
      </x:c>
      <x:c r="M199" s="12" t="n">
        <x:v>5</x:v>
      </x:c>
      <x:c r="N199" s="2" t="str">
        <x:v>2014-01</x:v>
      </x:c>
    </x:row>
    <x:row r="200" ht="22" customHeight="1">
      <x:c r="A200" s="8" t="d">
        <x:v>2014-02-28T00:00:00.000Z</x:v>
      </x:c>
      <x:c r="B200" s="8" t="d">
        <x:v>2014-02-03T00:00:00.000Z</x:v>
      </x:c>
      <x:c r="C200" s="2" t="str">
        <x:v>HAR-201703</x:v>
      </x:c>
      <x:c r="D200" s="11" t="n">
        <x:f>194*'Summary'!$C$18</x:f>
        <x:v>194000</x:v>
      </x:c>
      <x:c r="E200" s="2" t="n">
        <x:v>500</x:v>
      </x:c>
      <x:c r="F200" s="2" t="n">
        <x:v>497</x:v>
      </x:c>
      <x:c r="G200" s="9" t="n">
        <x:f>F200/E200</x:f>
        <x:v>0.994</x:v>
      </x:c>
      <x:c r="H200" s="11" t="n">
        <x:f>K200*'Summary'!$C$18</x:f>
        <x:v>511257.3193317499</x:v>
      </x:c>
      <x:c r="I200" s="11" t="n">
        <x:f>L200*'Summary'!$C$18</x:f>
        <x:v>354724.4805393361</x:v>
      </x:c>
      <x:c r="J200" s="11" t="n">
        <x:f>M200*'Summary'!$C$18</x:f>
        <x:v>5000</x:v>
      </x:c>
      <x:c r="K200" s="12" t="n">
        <x:v>511.2573193317499</x:v>
      </x:c>
      <x:c r="L200" s="12" t="n">
        <x:v>354.7244805393361</x:v>
      </x:c>
      <x:c r="M200" s="12" t="n">
        <x:v>5</x:v>
      </x:c>
      <x:c r="N200" s="2" t="str">
        <x:v>2014-02</x:v>
      </x:c>
    </x:row>
    <x:row r="201" ht="22" customHeight="1">
      <x:c r="A201" s="8" t="d">
        <x:v>2014-03-31T00:00:00.000Z</x:v>
      </x:c>
      <x:c r="B201" s="8" t="d">
        <x:v>2014-03-03T00:00:00.000Z</x:v>
      </x:c>
      <x:c r="C201" s="2" t="str">
        <x:v>FRX-201406</x:v>
      </x:c>
      <x:c r="D201" s="11" t="n">
        <x:f>195*'Summary'!$C$18</x:f>
        <x:v>195000</x:v>
      </x:c>
      <x:c r="E201" s="2" t="n">
        <x:v>500</x:v>
      </x:c>
      <x:c r="F201" s="2" t="n">
        <x:v>497</x:v>
      </x:c>
      <x:c r="G201" s="9" t="n">
        <x:f>F201/E201</x:f>
        <x:v>0.994</x:v>
      </x:c>
      <x:c r="H201" s="11" t="n">
        <x:f>K201*'Summary'!$C$18</x:f>
        <x:v>514569.6547665549</x:v>
      </x:c>
      <x:c r="I201" s="11" t="n">
        <x:f>L201*'Summary'!$C$18</x:f>
        <x:v>358684.3630296211</x:v>
      </x:c>
      <x:c r="J201" s="11" t="n">
        <x:f>M201*'Summary'!$C$18</x:f>
        <x:v>5000</x:v>
      </x:c>
      <x:c r="K201" s="12" t="n">
        <x:v>514.5696547665549</x:v>
      </x:c>
      <x:c r="L201" s="12" t="n">
        <x:v>358.68436302962107</x:v>
      </x:c>
      <x:c r="M201" s="12" t="n">
        <x:v>5</x:v>
      </x:c>
      <x:c r="N201" s="2" t="str">
        <x:v>2014-03</x:v>
      </x:c>
    </x:row>
    <x:row r="202" ht="22" customHeight="1">
      <x:c r="A202" s="8" t="d">
        <x:v>2014-04-30T00:00:00.000Z</x:v>
      </x:c>
      <x:c r="B202" s="8" t="d">
        <x:v>2014-04-01T00:00:00.000Z</x:v>
      </x:c>
      <x:c r="C202" s="2" t="str">
        <x:v>FSLR</x:v>
      </x:c>
      <x:c r="D202" s="11" t="n">
        <x:f>196*'Summary'!$C$18</x:f>
        <x:v>196000</x:v>
      </x:c>
      <x:c r="E202" s="2" t="n">
        <x:v>500</x:v>
      </x:c>
      <x:c r="F202" s="2" t="n">
        <x:v>497</x:v>
      </x:c>
      <x:c r="G202" s="9" t="n">
        <x:f>F202/E202</x:f>
        <x:v>0.994</x:v>
      </x:c>
      <x:c r="H202" s="11" t="n">
        <x:f>K202*'Summary'!$C$18</x:f>
        <x:v>528497.1590390906</x:v>
      </x:c>
      <x:c r="I202" s="11" t="n">
        <x:f>L202*'Summary'!$C$18</x:f>
        <x:v>362181.4409349987</x:v>
      </x:c>
      <x:c r="J202" s="11" t="n">
        <x:f>M202*'Summary'!$C$18</x:f>
        <x:v>5000</x:v>
      </x:c>
      <x:c r="K202" s="12" t="n">
        <x:v>528.4971590390907</x:v>
      </x:c>
      <x:c r="L202" s="12" t="n">
        <x:v>362.1814409349987</x:v>
      </x:c>
      <x:c r="M202" s="12" t="n">
        <x:v>5</x:v>
      </x:c>
      <x:c r="N202" s="2" t="str">
        <x:v>2014-04</x:v>
      </x:c>
    </x:row>
    <x:row r="203" ht="22" customHeight="1">
      <x:c r="A203" s="8" t="d">
        <x:v>2014-05-30T00:00:00.000Z</x:v>
      </x:c>
      <x:c r="B203" s="8" t="d">
        <x:v>2014-05-01T00:00:00.000Z</x:v>
      </x:c>
      <x:c r="C203" s="2" t="str">
        <x:v>POM-201603</x:v>
      </x:c>
      <x:c r="D203" s="11" t="n">
        <x:f>197*'Summary'!$C$18</x:f>
        <x:v>197000</x:v>
      </x:c>
      <x:c r="E203" s="2" t="n">
        <x:v>501</x:v>
      </x:c>
      <x:c r="F203" s="2" t="n">
        <x:v>498</x:v>
      </x:c>
      <x:c r="G203" s="9" t="n">
        <x:f>F203/E203</x:f>
        <x:v>0.9940119760479041</x:v>
      </x:c>
      <x:c r="H203" s="11" t="n">
        <x:f>K203*'Summary'!$C$18</x:f>
        <x:v>555049.1044831845</x:v>
      </x:c>
      <x:c r="I203" s="11" t="n">
        <x:f>L203*'Summary'!$C$18</x:f>
        <x:v>371610.0600893308</x:v>
      </x:c>
      <x:c r="J203" s="11" t="n">
        <x:f>M203*'Summary'!$C$18</x:f>
        <x:v>5000</x:v>
      </x:c>
      <x:c r="K203" s="12" t="n">
        <x:v>555.0491044831845</x:v>
      </x:c>
      <x:c r="L203" s="12" t="n">
        <x:v>371.6100600893308</x:v>
      </x:c>
      <x:c r="M203" s="12" t="n">
        <x:v>5</x:v>
      </x:c>
      <x:c r="N203" s="2" t="str">
        <x:v>2014-05</x:v>
      </x:c>
    </x:row>
    <x:row r="204" ht="22" customHeight="1">
      <x:c r="A204" s="8" t="d">
        <x:v>2014-06-30T00:00:00.000Z</x:v>
      </x:c>
      <x:c r="B204" s="8" t="d">
        <x:v>2014-06-02T00:00:00.000Z</x:v>
      </x:c>
      <x:c r="C204" s="2" t="str">
        <x:v>NFLX</x:v>
      </x:c>
      <x:c r="D204" s="11" t="n">
        <x:f>198*'Summary'!$C$18</x:f>
        <x:v>198000</x:v>
      </x:c>
      <x:c r="E204" s="2" t="n">
        <x:v>501</x:v>
      </x:c>
      <x:c r="F204" s="2" t="n">
        <x:v>499</x:v>
      </x:c>
      <x:c r="G204" s="9" t="n">
        <x:f>F204/E204</x:f>
        <x:v>0.9960079840319361</x:v>
      </x:c>
      <x:c r="H204" s="11" t="n">
        <x:f>K204*'Summary'!$C$18</x:f>
        <x:v>577306.2016861588</x:v>
      </x:c>
      <x:c r="I204" s="11" t="n">
        <x:f>L204*'Summary'!$C$18</x:f>
        <x:v>380301.1245182475</x:v>
      </x:c>
      <x:c r="J204" s="11" t="n">
        <x:f>M204*'Summary'!$C$18</x:f>
        <x:v>5000</x:v>
      </x:c>
      <x:c r="K204" s="12" t="n">
        <x:v>577.3062016861588</x:v>
      </x:c>
      <x:c r="L204" s="12" t="n">
        <x:v>380.3011245182475</x:v>
      </x:c>
      <x:c r="M204" s="12" t="n">
        <x:v>5</x:v>
      </x:c>
      <x:c r="N204" s="2" t="str">
        <x:v>2014-06</x:v>
      </x:c>
    </x:row>
    <x:row r="205" ht="22" customHeight="1">
      <x:c r="A205" s="8" t="d">
        <x:v>2014-07-31T00:00:00.000Z</x:v>
      </x:c>
      <x:c r="B205" s="8" t="d">
        <x:v>2014-07-01T00:00:00.000Z</x:v>
      </x:c>
      <x:c r="C205" s="2" t="str">
        <x:v>VRTX</x:v>
      </x:c>
      <x:c r="D205" s="11" t="n">
        <x:f>199*'Summary'!$C$18</x:f>
        <x:v>199000</x:v>
      </x:c>
      <x:c r="E205" s="2" t="n">
        <x:v>501</x:v>
      </x:c>
      <x:c r="F205" s="2" t="n">
        <x:v>499</x:v>
      </x:c>
      <x:c r="G205" s="9" t="n">
        <x:f>F205/E205</x:f>
        <x:v>0.9960079840319361</x:v>
      </x:c>
      <x:c r="H205" s="11" t="n">
        <x:f>K205*'Summary'!$C$18</x:f>
        <x:v>563489.9877237389</x:v>
      </x:c>
      <x:c r="I205" s="11" t="n">
        <x:f>L205*'Summary'!$C$18</x:f>
        <x:v>376174.9432371567</x:v>
      </x:c>
      <x:c r="J205" s="11" t="n">
        <x:f>M205*'Summary'!$C$18</x:f>
        <x:v>7000</x:v>
      </x:c>
      <x:c r="K205" s="12" t="n">
        <x:v>563.4899877237389</x:v>
      </x:c>
      <x:c r="L205" s="12" t="n">
        <x:v>376.1749432371567</x:v>
      </x:c>
      <x:c r="M205" s="12" t="n">
        <x:v>7</x:v>
      </x:c>
      <x:c r="N205" s="2" t="str">
        <x:v>2014-07</x:v>
      </x:c>
    </x:row>
    <x:row r="206" ht="22" customHeight="1">
      <x:c r="A206" s="8" t="d">
        <x:v>2014-08-29T00:00:00.000Z</x:v>
      </x:c>
      <x:c r="B206" s="8" t="d">
        <x:v>2014-08-01T00:00:00.000Z</x:v>
      </x:c>
      <x:c r="C206" s="2" t="str">
        <x:v>TWX-201806</x:v>
      </x:c>
      <x:c r="D206" s="11" t="n">
        <x:f>200*'Summary'!$C$18</x:f>
        <x:v>200000</x:v>
      </x:c>
      <x:c r="E206" s="2" t="n">
        <x:v>501</x:v>
      </x:c>
      <x:c r="F206" s="2" t="n">
        <x:v>499</x:v>
      </x:c>
      <x:c r="G206" s="9" t="n">
        <x:f>F206/E206</x:f>
        <x:v>0.9960079840319361</x:v>
      </x:c>
      <x:c r="H206" s="11" t="n">
        <x:f>K206*'Summary'!$C$18</x:f>
        <x:v>596667.7155737794</x:v>
      </x:c>
      <x:c r="I206" s="11" t="n">
        <x:f>L206*'Summary'!$C$18</x:f>
        <x:v>392062.4540679486</x:v>
      </x:c>
      <x:c r="J206" s="11" t="n">
        <x:f>M206*'Summary'!$C$18</x:f>
        <x:v>7000</x:v>
      </x:c>
      <x:c r="K206" s="12" t="n">
        <x:v>596.6677155737794</x:v>
      </x:c>
      <x:c r="L206" s="12" t="n">
        <x:v>392.06245406794864</x:v>
      </x:c>
      <x:c r="M206" s="12" t="n">
        <x:v>7</x:v>
      </x:c>
      <x:c r="N206" s="2" t="str">
        <x:v>2014-08</x:v>
      </x:c>
    </x:row>
    <x:row r="207" ht="22" customHeight="1">
      <x:c r="A207" s="8" t="d">
        <x:v>2014-09-30T00:00:00.000Z</x:v>
      </x:c>
      <x:c r="B207" s="8" t="d">
        <x:v>2014-09-02T00:00:00.000Z</x:v>
      </x:c>
      <x:c r="C207" s="2" t="str">
        <x:v>MNST</x:v>
      </x:c>
      <x:c r="D207" s="11" t="n">
        <x:f>201*'Summary'!$C$18</x:f>
        <x:v>201000</x:v>
      </x:c>
      <x:c r="E207" s="2" t="n">
        <x:v>502</x:v>
      </x:c>
      <x:c r="F207" s="2" t="n">
        <x:v>500</x:v>
      </x:c>
      <x:c r="G207" s="9" t="n">
        <x:f>F207/E207</x:f>
        <x:v>0.9960159362549801</x:v>
      </x:c>
      <x:c r="H207" s="11" t="n">
        <x:f>K207*'Summary'!$C$18</x:f>
        <x:v>578369.9280786137</x:v>
      </x:c>
      <x:c r="I207" s="11" t="n">
        <x:f>L207*'Summary'!$C$18</x:f>
        <x:v>387638.3807028765</x:v>
      </x:c>
      <x:c r="J207" s="11" t="n">
        <x:f>M207*'Summary'!$C$18</x:f>
        <x:v>7000</x:v>
      </x:c>
      <x:c r="K207" s="12" t="n">
        <x:v>578.3699280786137</x:v>
      </x:c>
      <x:c r="L207" s="12" t="n">
        <x:v>387.6383807028765</x:v>
      </x:c>
      <x:c r="M207" s="12" t="n">
        <x:v>7</x:v>
      </x:c>
      <x:c r="N207" s="2" t="str">
        <x:v>2014-09</x:v>
      </x:c>
    </x:row>
    <x:row r="208" ht="22" customHeight="1">
      <x:c r="A208" s="8" t="d">
        <x:v>2014-10-31T00:00:00.000Z</x:v>
      </x:c>
      <x:c r="B208" s="8" t="d">
        <x:v>2014-10-01T00:00:00.000Z</x:v>
      </x:c>
      <x:c r="C208" s="2" t="str">
        <x:v>SIAL-201511</x:v>
      </x:c>
      <x:c r="D208" s="11" t="n">
        <x:f>202*'Summary'!$C$18</x:f>
        <x:v>202000</x:v>
      </x:c>
      <x:c r="E208" s="2" t="n">
        <x:v>502</x:v>
      </x:c>
      <x:c r="F208" s="2" t="n">
        <x:v>500</x:v>
      </x:c>
      <x:c r="G208" s="9" t="n">
        <x:f>F208/E208</x:f>
        <x:v>0.9960159362549801</x:v>
      </x:c>
      <x:c r="H208" s="11" t="n">
        <x:f>K208*'Summary'!$C$18</x:f>
        <x:v>594831.8352498802</x:v>
      </x:c>
      <x:c r="I208" s="11" t="n">
        <x:f>L208*'Summary'!$C$18</x:f>
        <x:v>397792.8314519867</x:v>
      </x:c>
      <x:c r="J208" s="11" t="n">
        <x:f>M208*'Summary'!$C$18</x:f>
        <x:v>7000</x:v>
      </x:c>
      <x:c r="K208" s="12" t="n">
        <x:v>594.8318352498802</x:v>
      </x:c>
      <x:c r="L208" s="12" t="n">
        <x:v>397.7928314519867</x:v>
      </x:c>
      <x:c r="M208" s="12" t="n">
        <x:v>7</x:v>
      </x:c>
      <x:c r="N208" s="2" t="str">
        <x:v>2014-10</x:v>
      </x:c>
    </x:row>
    <x:row r="209" ht="22" customHeight="1">
      <x:c r="A209" s="8" t="d">
        <x:v>2014-11-28T00:00:00.000Z</x:v>
      </x:c>
      <x:c r="B209" s="8" t="d">
        <x:v>2014-11-03T00:00:00.000Z</x:v>
      </x:c>
      <x:c r="C209" s="2" t="str">
        <x:v>CFN-201503</x:v>
      </x:c>
      <x:c r="D209" s="11" t="n">
        <x:f>203*'Summary'!$C$18</x:f>
        <x:v>203000</x:v>
      </x:c>
      <x:c r="E209" s="2" t="n">
        <x:v>502</x:v>
      </x:c>
      <x:c r="F209" s="2" t="n">
        <x:v>500</x:v>
      </x:c>
      <x:c r="G209" s="9" t="n">
        <x:f>F209/E209</x:f>
        <x:v>0.9960159362549801</x:v>
      </x:c>
      <x:c r="H209" s="11" t="n">
        <x:f>K209*'Summary'!$C$18</x:f>
        <x:v>627454.9097212104</x:v>
      </x:c>
      <x:c r="I209" s="11" t="n">
        <x:f>L209*'Summary'!$C$18</x:f>
        <x:v>409747.1246956066</x:v>
      </x:c>
      <x:c r="J209" s="11" t="n">
        <x:f>M209*'Summary'!$C$18</x:f>
        <x:v>7000</x:v>
      </x:c>
      <x:c r="K209" s="12" t="n">
        <x:v>627.4549097212104</x:v>
      </x:c>
      <x:c r="L209" s="12" t="n">
        <x:v>409.7471246956066</x:v>
      </x:c>
      <x:c r="M209" s="12" t="n">
        <x:v>7</x:v>
      </x:c>
      <x:c r="N209" s="2" t="str">
        <x:v>2014-11</x:v>
      </x:c>
    </x:row>
    <x:row r="210" ht="22" customHeight="1">
      <x:c r="A210" s="8" t="d">
        <x:v>2014-12-31T00:00:00.000Z</x:v>
      </x:c>
      <x:c r="B210" s="8" t="d">
        <x:v>2014-12-01T00:00:00.000Z</x:v>
      </x:c>
      <x:c r="C210" s="2" t="str">
        <x:v>WFM-201708</x:v>
      </x:c>
      <x:c r="D210" s="11" t="n">
        <x:f>204*'Summary'!$C$18</x:f>
        <x:v>204000</x:v>
      </x:c>
      <x:c r="E210" s="2" t="n">
        <x:v>502</x:v>
      </x:c>
      <x:c r="F210" s="2" t="n">
        <x:v>500</x:v>
      </x:c>
      <x:c r="G210" s="9" t="n">
        <x:f>F210/E210</x:f>
        <x:v>0.9960159362549801</x:v>
      </x:c>
      <x:c r="H210" s="11" t="n">
        <x:f>K210*'Summary'!$C$18</x:f>
        <x:v>611645.0346957891</x:v>
      </x:c>
      <x:c r="I210" s="11" t="n">
        <x:f>L210*'Summary'!$C$18</x:f>
        <x:v>409709.0902891333</x:v>
      </x:c>
      <x:c r="J210" s="11" t="n">
        <x:f>M210*'Summary'!$C$18</x:f>
        <x:v>9000</x:v>
      </x:c>
      <x:c r="K210" s="12" t="n">
        <x:v>611.6450346957891</x:v>
      </x:c>
      <x:c r="L210" s="12" t="n">
        <x:v>409.7090902891333</x:v>
      </x:c>
      <x:c r="M210" s="12" t="n">
        <x:v>9</x:v>
      </x:c>
      <x:c r="N210" s="2" t="str">
        <x:v>2014-12</x:v>
      </x:c>
    </x:row>
    <x:row r="211" ht="22" customHeight="1">
      <x:c r="A211" s="8" t="d">
        <x:v>2015-01-30T00:00:00.000Z</x:v>
      </x:c>
      <x:c r="B211" s="8" t="d">
        <x:v>2015-01-02T00:00:00.000Z</x:v>
      </x:c>
      <x:c r="C211" s="2" t="str">
        <x:v>SPLS-201709</x:v>
      </x:c>
      <x:c r="D211" s="11" t="n">
        <x:f>205*'Summary'!$C$18</x:f>
        <x:v>205000</x:v>
      </x:c>
      <x:c r="E211" s="2" t="n">
        <x:v>502</x:v>
      </x:c>
      <x:c r="F211" s="2" t="n">
        <x:v>500</x:v>
      </x:c>
      <x:c r="G211" s="9" t="n">
        <x:f>F211/E211</x:f>
        <x:v>0.9960159362549801</x:v>
      </x:c>
      <x:c r="H211" s="11" t="n">
        <x:f>K211*'Summary'!$C$18</x:f>
        <x:v>612655.2370881838</x:v>
      </x:c>
      <x:c r="I211" s="11" t="n">
        <x:f>L211*'Summary'!$C$18</x:f>
        <x:v>398536.137373222</x:v>
      </x:c>
      <x:c r="J211" s="11" t="n">
        <x:f>M211*'Summary'!$C$18</x:f>
        <x:v>9000</x:v>
      </x:c>
      <x:c r="K211" s="12" t="n">
        <x:v>612.6552370881838</x:v>
      </x:c>
      <x:c r="L211" s="12" t="n">
        <x:v>398.536137373222</x:v>
      </x:c>
      <x:c r="M211" s="12" t="n">
        <x:v>9</x:v>
      </x:c>
      <x:c r="N211" s="2" t="str">
        <x:v>2015-01</x:v>
      </x:c>
    </x:row>
    <x:row r="212" ht="22" customHeight="1">
      <x:c r="A212" s="8" t="d">
        <x:v>2015-02-27T00:00:00.000Z</x:v>
      </x:c>
      <x:c r="B212" s="8" t="d">
        <x:v>2015-02-02T00:00:00.000Z</x:v>
      </x:c>
      <x:c r="C212" s="2" t="str">
        <x:v>NEM</x:v>
      </x:c>
      <x:c r="D212" s="11" t="n">
        <x:f>206*'Summary'!$C$18</x:f>
        <x:v>206000</x:v>
      </x:c>
      <x:c r="E212" s="2" t="n">
        <x:v>502</x:v>
      </x:c>
      <x:c r="F212" s="2" t="n">
        <x:v>500</x:v>
      </x:c>
      <x:c r="G212" s="9" t="n">
        <x:f>F212/E212</x:f>
        <x:v>0.9960159362549801</x:v>
      </x:c>
      <x:c r="H212" s="11" t="n">
        <x:f>K212*'Summary'!$C$18</x:f>
        <x:v>663738.7460874679</x:v>
      </x:c>
      <x:c r="I212" s="11" t="n">
        <x:f>L212*'Summary'!$C$18</x:f>
        <x:v>421988.7371361245</x:v>
      </x:c>
      <x:c r="J212" s="11" t="n">
        <x:f>M212*'Summary'!$C$18</x:f>
        <x:v>10000</x:v>
      </x:c>
      <x:c r="K212" s="12" t="n">
        <x:v>663.7387460874679</x:v>
      </x:c>
      <x:c r="L212" s="12" t="n">
        <x:v>421.98873713612454</x:v>
      </x:c>
      <x:c r="M212" s="12" t="n">
        <x:v>10</x:v>
      </x:c>
      <x:c r="N212" s="2" t="str">
        <x:v>2015-02</x:v>
      </x:c>
    </x:row>
    <x:row r="213" ht="22" customHeight="1">
      <x:c r="A213" s="8" t="d">
        <x:v>2015-03-31T00:00:00.000Z</x:v>
      </x:c>
      <x:c r="B213" s="8" t="d">
        <x:v>2015-03-02T00:00:00.000Z</x:v>
      </x:c>
      <x:c r="C213" s="2" t="str">
        <x:v>FSLR</x:v>
      </x:c>
      <x:c r="D213" s="11" t="n">
        <x:f>207*'Summary'!$C$18</x:f>
        <x:v>207000</x:v>
      </x:c>
      <x:c r="E213" s="2" t="n">
        <x:v>502</x:v>
      </x:c>
      <x:c r="F213" s="2" t="n">
        <x:v>500</x:v>
      </x:c>
      <x:c r="G213" s="9" t="n">
        <x:f>F213/E213</x:f>
        <x:v>0.9960159362549801</x:v>
      </x:c>
      <x:c r="H213" s="11" t="n">
        <x:f>K213*'Summary'!$C$18</x:f>
        <x:v>655088.4566389847</x:v>
      </x:c>
      <x:c r="I213" s="11" t="n">
        <x:f>L213*'Summary'!$C$18</x:f>
        <x:v>416344.8502825679</x:v>
      </x:c>
      <x:c r="J213" s="11" t="n">
        <x:f>M213*'Summary'!$C$18</x:f>
        <x:v>11000</x:v>
      </x:c>
      <x:c r="K213" s="12" t="n">
        <x:v>655.0884566389848</x:v>
      </x:c>
      <x:c r="L213" s="12" t="n">
        <x:v>416.3448502825679</x:v>
      </x:c>
      <x:c r="M213" s="12" t="n">
        <x:v>11</x:v>
      </x:c>
      <x:c r="N213" s="2" t="str">
        <x:v>2015-03</x:v>
      </x:c>
    </x:row>
    <x:row r="214" ht="22" customHeight="1">
      <x:c r="A214" s="8" t="d">
        <x:v>2015-04-30T00:00:00.000Z</x:v>
      </x:c>
      <x:c r="B214" s="8" t="d">
        <x:v>2015-04-01T00:00:00.000Z</x:v>
      </x:c>
      <x:c r="C214" s="2" t="str">
        <x:v>KRFT-201507</x:v>
      </x:c>
      <x:c r="D214" s="11" t="n">
        <x:f>208*'Summary'!$C$18</x:f>
        <x:v>208000</x:v>
      </x:c>
      <x:c r="E214" s="2" t="n">
        <x:v>502</x:v>
      </x:c>
      <x:c r="F214" s="2" t="n">
        <x:v>501</x:v>
      </x:c>
      <x:c r="G214" s="9" t="n">
        <x:f>F214/E214</x:f>
        <x:v>0.99800796812749</x:v>
      </x:c>
      <x:c r="H214" s="11" t="n">
        <x:f>K214*'Summary'!$C$18</x:f>
        <x:v>662130.5597722353</x:v>
      </x:c>
      <x:c r="I214" s="11" t="n">
        <x:f>L214*'Summary'!$C$18</x:f>
        <x:v>421449.177798397</x:v>
      </x:c>
      <x:c r="J214" s="11" t="n">
        <x:f>M214*'Summary'!$C$18</x:f>
        <x:v>12000</x:v>
      </x:c>
      <x:c r="K214" s="12" t="n">
        <x:v>662.1305597722353</x:v>
      </x:c>
      <x:c r="L214" s="12" t="n">
        <x:v>421.44917779839705</x:v>
      </x:c>
      <x:c r="M214" s="12" t="n">
        <x:v>12</x:v>
      </x:c>
      <x:c r="N214" s="2" t="str">
        <x:v>2015-04</x:v>
      </x:c>
    </x:row>
    <x:row r="215" ht="22" customHeight="1">
      <x:c r="A215" s="8" t="d">
        <x:v>2015-05-29T00:00:00.000Z</x:v>
      </x:c>
      <x:c r="B215" s="8" t="d">
        <x:v>2015-05-01T00:00:00.000Z</x:v>
      </x:c>
      <x:c r="C215" s="2" t="str">
        <x:v>NFLX</x:v>
      </x:c>
      <x:c r="D215" s="11" t="n">
        <x:f>209*'Summary'!$C$18</x:f>
        <x:v>209000</x:v>
      </x:c>
      <x:c r="E215" s="2" t="n">
        <x:v>502</x:v>
      </x:c>
      <x:c r="F215" s="2" t="n">
        <x:v>501</x:v>
      </x:c>
      <x:c r="G215" s="9" t="n">
        <x:f>F215/E215</x:f>
        <x:v>0.99800796812749</x:v>
      </x:c>
      <x:c r="H215" s="11" t="n">
        <x:f>K215*'Summary'!$C$18</x:f>
        <x:v>684970.3423761815</x:v>
      </x:c>
      <x:c r="I215" s="11" t="n">
        <x:f>L215*'Summary'!$C$18</x:f>
        <x:v>427875.7002413445</x:v>
      </x:c>
      <x:c r="J215" s="11" t="n">
        <x:f>M215*'Summary'!$C$18</x:f>
        <x:v>12000</x:v>
      </x:c>
      <x:c r="K215" s="12" t="n">
        <x:v>684.9703423761815</x:v>
      </x:c>
      <x:c r="L215" s="12" t="n">
        <x:v>427.87570024134453</x:v>
      </x:c>
      <x:c r="M215" s="12" t="n">
        <x:v>12</x:v>
      </x:c>
      <x:c r="N215" s="2" t="str">
        <x:v>2015-05</x:v>
      </x:c>
    </x:row>
    <x:row r="216" ht="22" customHeight="1">
      <x:c r="A216" s="8" t="d">
        <x:v>2015-06-30T00:00:00.000Z</x:v>
      </x:c>
      <x:c r="B216" s="8" t="d">
        <x:v>2015-06-01T00:00:00.000Z</x:v>
      </x:c>
      <x:c r="C216" s="2" t="str">
        <x:v>HUM</x:v>
      </x:c>
      <x:c r="D216" s="11" t="n">
        <x:f>210*'Summary'!$C$18</x:f>
        <x:v>210000</x:v>
      </x:c>
      <x:c r="E216" s="2" t="n">
        <x:v>502</x:v>
      </x:c>
      <x:c r="F216" s="2" t="n">
        <x:v>501</x:v>
      </x:c>
      <x:c r="G216" s="9" t="n">
        <x:f>F216/E216</x:f>
        <x:v>0.99800796812749</x:v>
      </x:c>
      <x:c r="H216" s="11" t="n">
        <x:f>K216*'Summary'!$C$18</x:f>
        <x:v>660261.8474153691</x:v>
      </x:c>
      <x:c r="I216" s="11" t="n">
        <x:f>L216*'Summary'!$C$18</x:f>
        <x:v>420160.6454624459</x:v>
      </x:c>
      <x:c r="J216" s="11" t="n">
        <x:f>M216*'Summary'!$C$18</x:f>
        <x:v>13000</x:v>
      </x:c>
      <x:c r="K216" s="12" t="n">
        <x:v>660.2618474153692</x:v>
      </x:c>
      <x:c r="L216" s="12" t="n">
        <x:v>420.1606454624459</x:v>
      </x:c>
      <x:c r="M216" s="12" t="n">
        <x:v>13</x:v>
      </x:c>
      <x:c r="N216" s="2" t="str">
        <x:v>2015-06</x:v>
      </x:c>
    </x:row>
    <x:row r="217" ht="22" customHeight="1">
      <x:c r="A217" s="8" t="d">
        <x:v>2015-07-31T00:00:00.000Z</x:v>
      </x:c>
      <x:c r="B217" s="8" t="d">
        <x:v>2015-07-01T00:00:00.000Z</x:v>
      </x:c>
      <x:c r="C217" s="2" t="str">
        <x:v>CI</x:v>
      </x:c>
      <x:c r="D217" s="11" t="n">
        <x:f>211*'Summary'!$C$18</x:f>
        <x:v>211000</x:v>
      </x:c>
      <x:c r="E217" s="2" t="n">
        <x:v>502</x:v>
      </x:c>
      <x:c r="F217" s="2" t="n">
        <x:v>500</x:v>
      </x:c>
      <x:c r="G217" s="9" t="n">
        <x:f>F217/E217</x:f>
        <x:v>0.9960159362549801</x:v>
      </x:c>
      <x:c r="H217" s="11" t="n">
        <x:f>K217*'Summary'!$C$18</x:f>
        <x:v>648280.627895171</x:v>
      </x:c>
      <x:c r="I217" s="11" t="n">
        <x:f>L217*'Summary'!$C$18</x:f>
        <x:v>430665.0871168097</x:v>
      </x:c>
      <x:c r="J217" s="11" t="n">
        <x:f>M217*'Summary'!$C$18</x:f>
        <x:v>14000</x:v>
      </x:c>
      <x:c r="K217" s="12" t="n">
        <x:v>648.280627895171</x:v>
      </x:c>
      <x:c r="L217" s="12" t="n">
        <x:v>430.6650871168097</x:v>
      </x:c>
      <x:c r="M217" s="12" t="n">
        <x:v>14</x:v>
      </x:c>
      <x:c r="N217" s="2" t="str">
        <x:v>2015-07</x:v>
      </x:c>
    </x:row>
    <x:row r="218" ht="22" customHeight="1">
      <x:c r="A218" s="8" t="d">
        <x:v>2015-08-31T00:00:00.000Z</x:v>
      </x:c>
      <x:c r="B218" s="8" t="d">
        <x:v>2015-08-03T00:00:00.000Z</x:v>
      </x:c>
      <x:c r="C218" s="2" t="str">
        <x:v>CB-201601</x:v>
      </x:c>
      <x:c r="D218" s="11" t="n">
        <x:f>212*'Summary'!$C$18</x:f>
        <x:v>212000</x:v>
      </x:c>
      <x:c r="E218" s="2" t="n">
        <x:v>502</x:v>
      </x:c>
      <x:c r="F218" s="2" t="n">
        <x:v>497</x:v>
      </x:c>
      <x:c r="G218" s="9" t="n">
        <x:f>F218/E218</x:f>
        <x:v>0.9900398406374502</x:v>
      </x:c>
      <x:c r="H218" s="11" t="n">
        <x:f>K218*'Summary'!$C$18</x:f>
        <x:v>617752.6054148214</x:v>
      </x:c>
      <x:c r="I218" s="11" t="n">
        <x:f>L218*'Summary'!$C$18</x:f>
        <x:v>405355.2234820331</x:v>
      </x:c>
      <x:c r="J218" s="11" t="n">
        <x:f>M218*'Summary'!$C$18</x:f>
        <x:v>14000</x:v>
      </x:c>
      <x:c r="K218" s="12" t="n">
        <x:v>617.7526054148215</x:v>
      </x:c>
      <x:c r="L218" s="12" t="n">
        <x:v>405.3552234820331</x:v>
      </x:c>
      <x:c r="M218" s="12" t="n">
        <x:v>14</x:v>
      </x:c>
      <x:c r="N218" s="2" t="str">
        <x:v>2015-08</x:v>
      </x:c>
    </x:row>
    <x:row r="219" ht="22" customHeight="1">
      <x:c r="A219" s="8" t="d">
        <x:v>2015-09-30T00:00:00.000Z</x:v>
      </x:c>
      <x:c r="B219" s="8" t="d">
        <x:v>2015-09-01T00:00:00.000Z</x:v>
      </x:c>
      <x:c r="C219" s="2" t="str">
        <x:v>CAM-201604</x:v>
      </x:c>
      <x:c r="D219" s="11" t="n">
        <x:f>213*'Summary'!$C$18</x:f>
        <x:v>213000</x:v>
      </x:c>
      <x:c r="E219" s="2" t="n">
        <x:v>502</x:v>
      </x:c>
      <x:c r="F219" s="2" t="n">
        <x:v>501</x:v>
      </x:c>
      <x:c r="G219" s="9" t="n">
        <x:f>F219/E219</x:f>
        <x:v>0.99800796812749</x:v>
      </x:c>
      <x:c r="H219" s="11" t="n">
        <x:f>K219*'Summary'!$C$18</x:f>
        <x:v>597714.9815914966</x:v>
      </x:c>
      <x:c r="I219" s="11" t="n">
        <x:f>L219*'Summary'!$C$18</x:f>
        <x:v>396009.6517397518</x:v>
      </x:c>
      <x:c r="J219" s="11" t="n">
        <x:f>M219*'Summary'!$C$18</x:f>
        <x:v>14000</x:v>
      </x:c>
      <x:c r="K219" s="12" t="n">
        <x:v>597.7149815914967</x:v>
      </x:c>
      <x:c r="L219" s="12" t="n">
        <x:v>396.0096517397518</x:v>
      </x:c>
      <x:c r="M219" s="12" t="n">
        <x:v>14</x:v>
      </x:c>
      <x:c r="N219" s="2" t="str">
        <x:v>2015-09</x:v>
      </x:c>
    </x:row>
    <x:row r="220" ht="22" customHeight="1">
      <x:c r="A220" s="8" t="d">
        <x:v>2015-10-30T00:00:00.000Z</x:v>
      </x:c>
      <x:c r="B220" s="8" t="d">
        <x:v>2015-10-01T00:00:00.000Z</x:v>
      </x:c>
      <x:c r="C220" s="2" t="str">
        <x:v>CVC-201606</x:v>
      </x:c>
      <x:c r="D220" s="11" t="n">
        <x:f>214*'Summary'!$C$18</x:f>
        <x:v>214000</x:v>
      </x:c>
      <x:c r="E220" s="2" t="n">
        <x:v>505</x:v>
      </x:c>
      <x:c r="F220" s="2" t="n">
        <x:v>504</x:v>
      </x:c>
      <x:c r="G220" s="9" t="n">
        <x:f>F220/E220</x:f>
        <x:v>0.998019801980198</x:v>
      </x:c>
      <x:c r="H220" s="11" t="n">
        <x:f>K220*'Summary'!$C$18</x:f>
        <x:v>645281.514944334</x:v>
      </x:c>
      <x:c r="I220" s="11" t="n">
        <x:f>L220*'Summary'!$C$18</x:f>
        <x:v>430776.625503201</x:v>
      </x:c>
      <x:c r="J220" s="11" t="n">
        <x:f>M220*'Summary'!$C$18</x:f>
        <x:v>14000</x:v>
      </x:c>
      <x:c r="K220" s="12" t="n">
        <x:v>645.281514944334</x:v>
      </x:c>
      <x:c r="L220" s="12" t="n">
        <x:v>430.776625503201</x:v>
      </x:c>
      <x:c r="M220" s="12" t="n">
        <x:v>14</x:v>
      </x:c>
      <x:c r="N220" s="2" t="str">
        <x:v>2015-10</x:v>
      </x:c>
    </x:row>
    <x:row r="221" ht="22" customHeight="1">
      <x:c r="A221" s="8" t="d">
        <x:v>2015-11-30T00:00:00.000Z</x:v>
      </x:c>
      <x:c r="B221" s="8" t="d">
        <x:v>2015-11-02T00:00:00.000Z</x:v>
      </x:c>
      <x:c r="C221" s="2" t="str">
        <x:v>SNDK-201605</x:v>
      </x:c>
      <x:c r="D221" s="11" t="n">
        <x:f>215*'Summary'!$C$18</x:f>
        <x:v>215000</x:v>
      </x:c>
      <x:c r="E221" s="2" t="n">
        <x:v>505</x:v>
      </x:c>
      <x:c r="F221" s="2" t="n">
        <x:v>504</x:v>
      </x:c>
      <x:c r="G221" s="9" t="n">
        <x:f>F221/E221</x:f>
        <x:v>0.998019801980198</x:v>
      </x:c>
      <x:c r="H221" s="11" t="n">
        <x:f>K221*'Summary'!$C$18</x:f>
        <x:v>639785.3007021649</x:v>
      </x:c>
      <x:c r="I221" s="11" t="n">
        <x:f>L221*'Summary'!$C$18</x:f>
        <x:v>433352.9432852626</x:v>
      </x:c>
      <x:c r="J221" s="11" t="n">
        <x:f>M221*'Summary'!$C$18</x:f>
        <x:v>15000</x:v>
      </x:c>
      <x:c r="K221" s="12" t="n">
        <x:v>639.7853007021649</x:v>
      </x:c>
      <x:c r="L221" s="12" t="n">
        <x:v>433.3529432852626</x:v>
      </x:c>
      <x:c r="M221" s="12" t="n">
        <x:v>15</x:v>
      </x:c>
      <x:c r="N221" s="2" t="str">
        <x:v>2015-11</x:v>
      </x:c>
    </x:row>
    <x:row r="222" ht="22" customHeight="1">
      <x:c r="A222" s="8" t="d">
        <x:v>2015-12-31T00:00:00.000Z</x:v>
      </x:c>
      <x:c r="B222" s="8" t="d">
        <x:v>2015-12-01T00:00:00.000Z</x:v>
      </x:c>
      <x:c r="C222" s="2" t="str">
        <x:v>ARG-201605</x:v>
      </x:c>
      <x:c r="D222" s="11" t="n">
        <x:f>216*'Summary'!$C$18</x:f>
        <x:v>216000</x:v>
      </x:c>
      <x:c r="E222" s="2" t="n">
        <x:v>506</x:v>
      </x:c>
      <x:c r="F222" s="2" t="n">
        <x:v>504</x:v>
      </x:c>
      <x:c r="G222" s="9" t="n">
        <x:f>F222/E222</x:f>
        <x:v>0.9960474308300395</x:v>
      </x:c>
      <x:c r="H222" s="11" t="n">
        <x:f>K222*'Summary'!$C$18</x:f>
        <x:v>603461.2137957788</x:v>
      </x:c>
      <x:c r="I222" s="11" t="n">
        <x:f>L222*'Summary'!$C$18</x:f>
        <x:v>426842.717019033</x:v>
      </x:c>
      <x:c r="J222" s="11" t="n">
        <x:f>M222*'Summary'!$C$18</x:f>
        <x:v>16000</x:v>
      </x:c>
      <x:c r="K222" s="12" t="n">
        <x:v>603.4612137957788</x:v>
      </x:c>
      <x:c r="L222" s="12" t="n">
        <x:v>426.842717019033</x:v>
      </x:c>
      <x:c r="M222" s="12" t="n">
        <x:v>16</x:v>
      </x:c>
      <x:c r="N222" s="2" t="str">
        <x:v>2015-12</x:v>
      </x:c>
    </x:row>
    <x:row r="223" ht="22" customHeight="1">
      <x:c r="A223" s="8" t="d">
        <x:v>2016-01-29T00:00:00.000Z</x:v>
      </x:c>
      <x:c r="B223" s="8" t="d">
        <x:v>2016-01-04T00:00:00.000Z</x:v>
      </x:c>
      <x:c r="C223" s="2" t="str">
        <x:v>GMCR-201603</x:v>
      </x:c>
      <x:c r="D223" s="11" t="n">
        <x:f>217*'Summary'!$C$18</x:f>
        <x:v>217000</x:v>
      </x:c>
      <x:c r="E223" s="2" t="n">
        <x:v>504</x:v>
      </x:c>
      <x:c r="F223" s="2" t="n">
        <x:v>503</x:v>
      </x:c>
      <x:c r="G223" s="9" t="n">
        <x:f>F223/E223</x:f>
        <x:v>0.998015873015873</x:v>
      </x:c>
      <x:c r="H223" s="11" t="n">
        <x:f>K223*'Summary'!$C$18</x:f>
        <x:v>560210.0861076965</x:v>
      </x:c>
      <x:c r="I223" s="11" t="n">
        <x:f>L223*'Summary'!$C$18</x:f>
        <x:v>406557.9021197461</x:v>
      </x:c>
      <x:c r="J223" s="11" t="n">
        <x:f>M223*'Summary'!$C$18</x:f>
        <x:v>18000</x:v>
      </x:c>
      <x:c r="K223" s="12" t="n">
        <x:v>560.2100861076965</x:v>
      </x:c>
      <x:c r="L223" s="12" t="n">
        <x:v>406.5579021197461</x:v>
      </x:c>
      <x:c r="M223" s="12" t="n">
        <x:v>18</x:v>
      </x:c>
      <x:c r="N223" s="2" t="str">
        <x:v>2016-01</x:v>
      </x:c>
    </x:row>
    <x:row r="224" ht="22" customHeight="1">
      <x:c r="A224" s="8" t="d">
        <x:v>2016-02-29T00:00:00.000Z</x:v>
      </x:c>
      <x:c r="B224" s="8" t="d">
        <x:v>2016-02-01T00:00:00.000Z</x:v>
      </x:c>
      <x:c r="C224" s="2" t="str">
        <x:v>SWN</x:v>
      </x:c>
      <x:c r="D224" s="11" t="n">
        <x:f>218*'Summary'!$C$18</x:f>
        <x:v>218000</x:v>
      </x:c>
      <x:c r="E224" s="2" t="n">
        <x:v>504</x:v>
      </x:c>
      <x:c r="F224" s="2" t="n">
        <x:v>503</x:v>
      </x:c>
      <x:c r="G224" s="9" t="n">
        <x:f>F224/E224</x:f>
        <x:v>0.998015873015873</x:v>
      </x:c>
      <x:c r="H224" s="11" t="n">
        <x:f>K224*'Summary'!$C$18</x:f>
        <x:v>570442.5198167972</x:v>
      </x:c>
      <x:c r="I224" s="11" t="n">
        <x:f>L224*'Summary'!$C$18</x:f>
        <x:v>407227.4541139063</x:v>
      </x:c>
      <x:c r="J224" s="11" t="n">
        <x:f>M224*'Summary'!$C$18</x:f>
        <x:v>20000</x:v>
      </x:c>
      <x:c r="K224" s="12" t="n">
        <x:v>570.4425198167972</x:v>
      </x:c>
      <x:c r="L224" s="12" t="n">
        <x:v>407.22745411390633</x:v>
      </x:c>
      <x:c r="M224" s="12" t="n">
        <x:v>20</x:v>
      </x:c>
      <x:c r="N224" s="2" t="str">
        <x:v>2016-02</x:v>
      </x:c>
    </x:row>
    <x:row r="225" ht="22" customHeight="1">
      <x:c r="A225" s="8" t="d">
        <x:v>2016-03-31T00:00:00.000Z</x:v>
      </x:c>
      <x:c r="B225" s="8" t="d">
        <x:v>2016-03-01T00:00:00.000Z</x:v>
      </x:c>
      <x:c r="C225" s="2" t="str">
        <x:v>FCX</x:v>
      </x:c>
      <x:c r="D225" s="11" t="n">
        <x:f>219*'Summary'!$C$18</x:f>
        <x:v>219000</x:v>
      </x:c>
      <x:c r="E225" s="2" t="n">
        <x:v>504</x:v>
      </x:c>
      <x:c r="F225" s="2" t="n">
        <x:v>503</x:v>
      </x:c>
      <x:c r="G225" s="9" t="n">
        <x:f>F225/E225</x:f>
        <x:v>0.998015873015873</x:v>
      </x:c>
      <x:c r="H225" s="11" t="n">
        <x:f>K225*'Summary'!$C$18</x:f>
        <x:v>618460.0065125895</x:v>
      </x:c>
      <x:c r="I225" s="11" t="n">
        <x:f>L225*'Summary'!$C$18</x:f>
        <x:v>435679.3586352494</x:v>
      </x:c>
      <x:c r="J225" s="11" t="n">
        <x:f>M225*'Summary'!$C$18</x:f>
        <x:v>22000</x:v>
      </x:c>
      <x:c r="K225" s="12" t="n">
        <x:v>618.4600065125895</x:v>
      </x:c>
      <x:c r="L225" s="12" t="n">
        <x:v>435.6793586352494</x:v>
      </x:c>
      <x:c r="M225" s="12" t="n">
        <x:v>22</x:v>
      </x:c>
      <x:c r="N225" s="2" t="str">
        <x:v>2016-03</x:v>
      </x:c>
    </x:row>
    <x:row r="226" ht="22" customHeight="1">
      <x:c r="A226" s="8" t="d">
        <x:v>2016-04-29T00:00:00.000Z</x:v>
      </x:c>
      <x:c r="B226" s="8" t="d">
        <x:v>2016-04-01T00:00:00.000Z</x:v>
      </x:c>
      <x:c r="C226" s="2" t="str">
        <x:v>CHK</x:v>
      </x:c>
      <x:c r="D226" s="11" t="n">
        <x:f>220*'Summary'!$C$18</x:f>
        <x:v>220000</x:v>
      </x:c>
      <x:c r="E226" s="2" t="n">
        <x:v>504</x:v>
      </x:c>
      <x:c r="F226" s="2" t="n">
        <x:v>503</x:v>
      </x:c>
      <x:c r="G226" s="9" t="n">
        <x:f>F226/E226</x:f>
        <x:v>0.998015873015873</x:v>
      </x:c>
      <x:c r="H226" s="11" t="n">
        <x:f>K226*'Summary'!$C$18</x:f>
        <x:v>586105.4399505289</x:v>
      </x:c>
      <x:c r="I226" s="11" t="n">
        <x:f>L226*'Summary'!$C$18</x:f>
        <x:v>438406.1518514198</x:v>
      </x:c>
      <x:c r="J226" s="11" t="n">
        <x:f>M226*'Summary'!$C$18</x:f>
        <x:v>23000</x:v>
      </x:c>
      <x:c r="K226" s="12" t="n">
        <x:v>586.1054399505289</x:v>
      </x:c>
      <x:c r="L226" s="12" t="n">
        <x:v>438.40615185141985</x:v>
      </x:c>
      <x:c r="M226" s="12" t="n">
        <x:v>23</x:v>
      </x:c>
      <x:c r="N226" s="2" t="str">
        <x:v>2016-04</x:v>
      </x:c>
    </x:row>
    <x:row r="227" ht="22" customHeight="1">
      <x:c r="A227" s="8" t="d">
        <x:v>2016-05-31T00:00:00.000Z</x:v>
      </x:c>
      <x:c r="B227" s="8" t="d">
        <x:v>2016-05-02T00:00:00.000Z</x:v>
      </x:c>
      <x:c r="C227" s="2" t="str">
        <x:v>CHK</x:v>
      </x:c>
      <x:c r="D227" s="11" t="n">
        <x:f>221*'Summary'!$C$18</x:f>
        <x:v>221000</x:v>
      </x:c>
      <x:c r="E227" s="2" t="n">
        <x:v>505</x:v>
      </x:c>
      <x:c r="F227" s="2" t="n">
        <x:v>504</x:v>
      </x:c>
      <x:c r="G227" s="9" t="n">
        <x:f>F227/E227</x:f>
        <x:v>0.998019801980198</x:v>
      </x:c>
      <x:c r="H227" s="11" t="n">
        <x:f>K227*'Summary'!$C$18</x:f>
        <x:v>598486.5827255562</x:v>
      </x:c>
      <x:c r="I227" s="11" t="n">
        <x:f>L227*'Summary'!$C$18</x:f>
        <x:v>446878.2346463462</x:v>
      </x:c>
      <x:c r="J227" s="11" t="n">
        <x:f>M227*'Summary'!$C$18</x:f>
        <x:v>27000</x:v>
      </x:c>
      <x:c r="K227" s="12" t="n">
        <x:v>598.4865827255562</x:v>
      </x:c>
      <x:c r="L227" s="12" t="n">
        <x:v>446.8782346463462</x:v>
      </x:c>
      <x:c r="M227" s="12" t="n">
        <x:v>27</x:v>
      </x:c>
      <x:c r="N227" s="2" t="str">
        <x:v>2016-05</x:v>
      </x:c>
    </x:row>
    <x:row r="228" ht="22" customHeight="1">
      <x:c r="A228" s="8" t="d">
        <x:v>2016-06-30T00:00:00.000Z</x:v>
      </x:c>
      <x:c r="B228" s="8" t="d">
        <x:v>2016-06-01T00:00:00.000Z</x:v>
      </x:c>
      <x:c r="C228" s="2" t="str">
        <x:v>NVDA</x:v>
      </x:c>
      <x:c r="D228" s="11" t="n">
        <x:f>222*'Summary'!$C$18</x:f>
        <x:v>222000</x:v>
      </x:c>
      <x:c r="E228" s="2" t="n">
        <x:v>505</x:v>
      </x:c>
      <x:c r="F228" s="2" t="n">
        <x:v>504</x:v>
      </x:c>
      <x:c r="G228" s="9" t="n">
        <x:f>F228/E228</x:f>
        <x:v>0.998019801980198</x:v>
      </x:c>
      <x:c r="H228" s="11" t="n">
        <x:f>K228*'Summary'!$C$18</x:f>
        <x:v>594717.6745929839</x:v>
      </x:c>
      <x:c r="I228" s="11" t="n">
        <x:f>L228*'Summary'!$C$18</x:f>
        <x:v>449438.4589286392</x:v>
      </x:c>
      <x:c r="J228" s="11" t="n">
        <x:f>M228*'Summary'!$C$18</x:f>
        <x:v>28000</x:v>
      </x:c>
      <x:c r="K228" s="12" t="n">
        <x:v>594.7176745929839</x:v>
      </x:c>
      <x:c r="L228" s="12" t="n">
        <x:v>449.4384589286392</x:v>
      </x:c>
      <x:c r="M228" s="12" t="n">
        <x:v>28</x:v>
      </x:c>
      <x:c r="N228" s="2" t="str">
        <x:v>2016-06</x:v>
      </x:c>
    </x:row>
    <x:row r="229" ht="22" customHeight="1">
      <x:c r="A229" s="8" t="d">
        <x:v>2016-07-29T00:00:00.000Z</x:v>
      </x:c>
      <x:c r="B229" s="8" t="d">
        <x:v>2016-07-01T00:00:00.000Z</x:v>
      </x:c>
      <x:c r="C229" s="2" t="str">
        <x:v>HSY</x:v>
      </x:c>
      <x:c r="D229" s="11" t="n">
        <x:f>223*'Summary'!$C$18</x:f>
        <x:v>223000</x:v>
      </x:c>
      <x:c r="E229" s="2" t="n">
        <x:v>505</x:v>
      </x:c>
      <x:c r="F229" s="2" t="n">
        <x:v>504</x:v>
      </x:c>
      <x:c r="G229" s="9" t="n">
        <x:f>F229/E229</x:f>
        <x:v>0.998019801980198</x:v>
      </x:c>
      <x:c r="H229" s="11" t="n">
        <x:f>K229*'Summary'!$C$18</x:f>
        <x:v>630027.8345463143</x:v>
      </x:c>
      <x:c r="I229" s="11" t="n">
        <x:f>L229*'Summary'!$C$18</x:f>
        <x:v>466866.5170782284</x:v>
      </x:c>
      <x:c r="J229" s="11" t="n">
        <x:f>M229*'Summary'!$C$18</x:f>
        <x:v>28000</x:v>
      </x:c>
      <x:c r="K229" s="12" t="n">
        <x:v>630.0278345463144</x:v>
      </x:c>
      <x:c r="L229" s="12" t="n">
        <x:v>466.8665170782284</x:v>
      </x:c>
      <x:c r="M229" s="12" t="n">
        <x:v>28</x:v>
      </x:c>
      <x:c r="N229" s="2" t="str">
        <x:v>2016-07</x:v>
      </x:c>
    </x:row>
    <x:row r="230" ht="22" customHeight="1">
      <x:c r="A230" s="8" t="d">
        <x:v>2016-08-31T00:00:00.000Z</x:v>
      </x:c>
      <x:c r="B230" s="8" t="d">
        <x:v>2016-08-01T00:00:00.000Z</x:v>
      </x:c>
      <x:c r="C230" s="2" t="str">
        <x:v>EBAY</x:v>
      </x:c>
      <x:c r="D230" s="11" t="n">
        <x:f>224*'Summary'!$C$18</x:f>
        <x:v>224000</x:v>
      </x:c>
      <x:c r="E230" s="2" t="n">
        <x:v>505</x:v>
      </x:c>
      <x:c r="F230" s="2" t="n">
        <x:v>503</x:v>
      </x:c>
      <x:c r="G230" s="9" t="n">
        <x:f>F230/E230</x:f>
        <x:v>0.996039603960396</x:v>
      </x:c>
      <x:c r="H230" s="11" t="n">
        <x:f>K230*'Summary'!$C$18</x:f>
        <x:v>635995.5699527774</x:v>
      </x:c>
      <x:c r="I230" s="11" t="n">
        <x:f>L230*'Summary'!$C$18</x:f>
        <x:v>468426.4829854408</x:v>
      </x:c>
      <x:c r="J230" s="11" t="n">
        <x:f>M230*'Summary'!$C$18</x:f>
        <x:v>30000</x:v>
      </x:c>
      <x:c r="K230" s="12" t="n">
        <x:v>635.9955699527774</x:v>
      </x:c>
      <x:c r="L230" s="12" t="n">
        <x:v>468.4264829854408</x:v>
      </x:c>
      <x:c r="M230" s="12" t="n">
        <x:v>30</x:v>
      </x:c>
      <x:c r="N230" s="2" t="str">
        <x:v>2016-08</x:v>
      </x:c>
    </x:row>
    <x:row r="231" ht="22" customHeight="1">
      <x:c r="A231" s="8" t="d">
        <x:v>2016-09-30T00:00:00.000Z</x:v>
      </x:c>
      <x:c r="B231" s="8" t="d">
        <x:v>2016-09-01T00:00:00.000Z</x:v>
      </x:c>
      <x:c r="C231" s="2" t="str">
        <x:v>NTAP</x:v>
      </x:c>
      <x:c r="D231" s="11" t="n">
        <x:f>225*'Summary'!$C$18</x:f>
        <x:v>225000</x:v>
      </x:c>
      <x:c r="E231" s="2" t="n">
        <x:v>505</x:v>
      </x:c>
      <x:c r="F231" s="2" t="n">
        <x:v>504</x:v>
      </x:c>
      <x:c r="G231" s="9" t="n">
        <x:f>F231/E231</x:f>
        <x:v>0.998019801980198</x:v>
      </x:c>
      <x:c r="H231" s="11" t="n">
        <x:f>K231*'Summary'!$C$18</x:f>
        <x:v>650643.2029374192</x:v>
      </x:c>
      <x:c r="I231" s="11" t="n">
        <x:f>L231*'Summary'!$C$18</x:f>
        <x:v>469453.7734697445</x:v>
      </x:c>
      <x:c r="J231" s="11" t="n">
        <x:f>M231*'Summary'!$C$18</x:f>
        <x:v>31000</x:v>
      </x:c>
      <x:c r="K231" s="12" t="n">
        <x:v>650.6432029374192</x:v>
      </x:c>
      <x:c r="L231" s="12" t="n">
        <x:v>469.4537734697445</x:v>
      </x:c>
      <x:c r="M231" s="12" t="n">
        <x:v>31</x:v>
      </x:c>
      <x:c r="N231" s="2" t="str">
        <x:v>2016-09</x:v>
      </x:c>
    </x:row>
    <x:row r="232" ht="22" customHeight="1">
      <x:c r="A232" s="8" t="d">
        <x:v>2016-10-31T00:00:00.000Z</x:v>
      </x:c>
      <x:c r="B232" s="8" t="d">
        <x:v>2016-10-03T00:00:00.000Z</x:v>
      </x:c>
      <x:c r="C232" s="2" t="str">
        <x:v>APA</x:v>
      </x:c>
      <x:c r="D232" s="11" t="n">
        <x:f>226*'Summary'!$C$18</x:f>
        <x:v>226000</x:v>
      </x:c>
      <x:c r="E232" s="2" t="n">
        <x:v>505</x:v>
      </x:c>
      <x:c r="F232" s="2" t="n">
        <x:v>505</x:v>
      </x:c>
      <x:c r="G232" s="9" t="n">
        <x:f>F232/E232</x:f>
        <x:v>1</x:v>
      </x:c>
      <x:c r="H232" s="11" t="n">
        <x:f>K232*'Summary'!$C$18</x:f>
        <x:v>652328.447359168</x:v>
      </x:c>
      <x:c r="I232" s="11" t="n">
        <x:f>L232*'Summary'!$C$18</x:f>
        <x:v>462299.6870052434</x:v>
      </x:c>
      <x:c r="J232" s="11" t="n">
        <x:f>M232*'Summary'!$C$18</x:f>
        <x:v>31000</x:v>
      </x:c>
      <x:c r="K232" s="12" t="n">
        <x:v>652.328447359168</x:v>
      </x:c>
      <x:c r="L232" s="12" t="n">
        <x:v>462.29968700524336</x:v>
      </x:c>
      <x:c r="M232" s="12" t="n">
        <x:v>31</x:v>
      </x:c>
      <x:c r="N232" s="2" t="str">
        <x:v>2016-10</x:v>
      </x:c>
    </x:row>
    <x:row r="233" ht="22" customHeight="1">
      <x:c r="A233" s="8" t="d">
        <x:v>2016-11-30T00:00:00.000Z</x:v>
      </x:c>
      <x:c r="B233" s="8" t="d">
        <x:v>2016-11-01T00:00:00.000Z</x:v>
      </x:c>
      <x:c r="C233" s="2" t="str">
        <x:v>AKAM</x:v>
      </x:c>
      <x:c r="D233" s="11" t="n">
        <x:f>227*'Summary'!$C$18</x:f>
        <x:v>227000</x:v>
      </x:c>
      <x:c r="E233" s="2" t="n">
        <x:v>505</x:v>
      </x:c>
      <x:c r="F233" s="2" t="n">
        <x:v>505</x:v>
      </x:c>
      <x:c r="G233" s="9" t="n">
        <x:f>F233/E233</x:f>
        <x:v>1</x:v>
      </x:c>
      <x:c r="H233" s="11" t="n">
        <x:f>K233*'Summary'!$C$18</x:f>
        <x:v>682264.9678420883</x:v>
      </x:c>
      <x:c r="I233" s="11" t="n">
        <x:f>L233*'Summary'!$C$18</x:f>
        <x:v>480365.0554396871</x:v>
      </x:c>
      <x:c r="J233" s="11" t="n">
        <x:f>M233*'Summary'!$C$18</x:f>
        <x:v>38000</x:v>
      </x:c>
      <x:c r="K233" s="12" t="n">
        <x:v>682.2649678420884</x:v>
      </x:c>
      <x:c r="L233" s="12" t="n">
        <x:v>480.3650554396871</x:v>
      </x:c>
      <x:c r="M233" s="12" t="n">
        <x:v>38</x:v>
      </x:c>
      <x:c r="N233" s="2" t="str">
        <x:v>2016-11</x:v>
      </x:c>
    </x:row>
    <x:row r="234" ht="22" customHeight="1">
      <x:c r="A234" s="8" t="d">
        <x:v>2016-12-30T00:00:00.000Z</x:v>
      </x:c>
      <x:c r="B234" s="8" t="d">
        <x:v>2016-12-01T00:00:00.000Z</x:v>
      </x:c>
      <x:c r="C234" s="2" t="str">
        <x:v>HAR-201703</x:v>
      </x:c>
      <x:c r="D234" s="11" t="n">
        <x:f>228*'Summary'!$C$18</x:f>
        <x:v>228000</x:v>
      </x:c>
      <x:c r="E234" s="2" t="n">
        <x:v>505</x:v>
      </x:c>
      <x:c r="F234" s="2" t="n">
        <x:v>505</x:v>
      </x:c>
      <x:c r="G234" s="9" t="n">
        <x:f>F234/E234</x:f>
        <x:v>1</x:v>
      </x:c>
      <x:c r="H234" s="11" t="n">
        <x:f>K234*'Summary'!$C$18</x:f>
        <x:v>700920.4989221996</x:v>
      </x:c>
      <x:c r="I234" s="11" t="n">
        <x:f>L234*'Summary'!$C$18</x:f>
        <x:v>491121.5633289812</x:v>
      </x:c>
      <x:c r="J234" s="11" t="n">
        <x:f>M234*'Summary'!$C$18</x:f>
        <x:v>38000</x:v>
      </x:c>
      <x:c r="K234" s="12" t="n">
        <x:v>700.9204989221996</x:v>
      </x:c>
      <x:c r="L234" s="12" t="n">
        <x:v>491.1215633289812</x:v>
      </x:c>
      <x:c r="M234" s="12" t="n">
        <x:v>38</x:v>
      </x:c>
      <x:c r="N234" s="2" t="str">
        <x:v>2016-12</x:v>
      </x:c>
    </x:row>
    <x:row r="235" ht="22" customHeight="1">
      <x:c r="A235" s="8" t="d">
        <x:v>2017-01-31T00:00:00.000Z</x:v>
      </x:c>
      <x:c r="B235" s="8" t="d">
        <x:v>2017-01-03T00:00:00.000Z</x:v>
      </x:c>
      <x:c r="C235" s="2" t="str">
        <x:v>NVDA</x:v>
      </x:c>
      <x:c r="D235" s="11" t="n">
        <x:f>229*'Summary'!$C$18</x:f>
        <x:v>229000</x:v>
      </x:c>
      <x:c r="E235" s="2" t="n">
        <x:v>505</x:v>
      </x:c>
      <x:c r="F235" s="2" t="n">
        <x:v>505</x:v>
      </x:c>
      <x:c r="G235" s="9" t="n">
        <x:f>F235/E235</x:f>
        <x:v>1</x:v>
      </x:c>
      <x:c r="H235" s="11" t="n">
        <x:f>K235*'Summary'!$C$18</x:f>
        <x:v>725411.2144686063</x:v>
      </x:c>
      <x:c r="I235" s="11" t="n">
        <x:f>L235*'Summary'!$C$18</x:f>
        <x:v>500921.0961070002</x:v>
      </x:c>
      <x:c r="J235" s="11" t="n">
        <x:f>M235*'Summary'!$C$18</x:f>
        <x:v>38000</x:v>
      </x:c>
      <x:c r="K235" s="12" t="n">
        <x:v>725.4112144686063</x:v>
      </x:c>
      <x:c r="L235" s="12" t="n">
        <x:v>500.9210961070002</x:v>
      </x:c>
      <x:c r="M235" s="12" t="n">
        <x:v>38</x:v>
      </x:c>
      <x:c r="N235" s="2" t="str">
        <x:v>2017-01</x:v>
      </x:c>
    </x:row>
    <x:row r="236" ht="22" customHeight="1">
      <x:c r="A236" s="8" t="d">
        <x:v>2017-02-28T00:00:00.000Z</x:v>
      </x:c>
      <x:c r="B236" s="8" t="d">
        <x:v>2017-02-01T00:00:00.000Z</x:v>
      </x:c>
      <x:c r="C236" s="2" t="str">
        <x:v>NRG</x:v>
      </x:c>
      <x:c r="D236" s="11" t="n">
        <x:f>230*'Summary'!$C$18</x:f>
        <x:v>230000</x:v>
      </x:c>
      <x:c r="E236" s="2" t="n">
        <x:v>505</x:v>
      </x:c>
      <x:c r="F236" s="2" t="n">
        <x:v>505</x:v>
      </x:c>
      <x:c r="G236" s="9" t="n">
        <x:f>F236/E236</x:f>
        <x:v>1</x:v>
      </x:c>
      <x:c r="H236" s="11" t="n">
        <x:f>K236*'Summary'!$C$18</x:f>
        <x:v>767819.0671099487</x:v>
      </x:c>
      <x:c r="I236" s="11" t="n">
        <x:f>L236*'Summary'!$C$18</x:f>
        <x:v>521642.3453886437</x:v>
      </x:c>
      <x:c r="J236" s="11" t="n">
        <x:f>M236*'Summary'!$C$18</x:f>
        <x:v>39000</x:v>
      </x:c>
      <x:c r="K236" s="12" t="n">
        <x:v>767.8190671099487</x:v>
      </x:c>
      <x:c r="L236" s="12" t="n">
        <x:v>521.6423453886437</x:v>
      </x:c>
      <x:c r="M236" s="12" t="n">
        <x:v>39</x:v>
      </x:c>
      <x:c r="N236" s="2" t="str">
        <x:v>2017-02</x:v>
      </x:c>
    </x:row>
    <x:row r="237" ht="22" customHeight="1">
      <x:c r="A237" s="8" t="d">
        <x:v>2017-03-31T00:00:00.000Z</x:v>
      </x:c>
      <x:c r="B237" s="8" t="d">
        <x:v>2017-03-01T00:00:00.000Z</x:v>
      </x:c>
      <x:c r="C237" s="2" t="str">
        <x:v>HWM</x:v>
      </x:c>
      <x:c r="D237" s="11" t="n">
        <x:f>231*'Summary'!$C$18</x:f>
        <x:v>231000</x:v>
      </x:c>
      <x:c r="E237" s="2" t="n">
        <x:v>505</x:v>
      </x:c>
      <x:c r="F237" s="2" t="n">
        <x:v>505</x:v>
      </x:c>
      <x:c r="G237" s="9" t="n">
        <x:f>F237/E237</x:f>
        <x:v>1</x:v>
      </x:c>
      <x:c r="H237" s="11" t="n">
        <x:f>K237*'Summary'!$C$18</x:f>
        <x:v>777740.9063668826</x:v>
      </x:c>
      <x:c r="I237" s="11" t="n">
        <x:f>L237*'Summary'!$C$18</x:f>
        <x:v>523287.5634638344</x:v>
      </x:c>
      <x:c r="J237" s="11" t="n">
        <x:f>M237*'Summary'!$C$18</x:f>
        <x:v>43000</x:v>
      </x:c>
      <x:c r="K237" s="12" t="n">
        <x:v>777.7409063668827</x:v>
      </x:c>
      <x:c r="L237" s="12" t="n">
        <x:v>523.2875634638344</x:v>
      </x:c>
      <x:c r="M237" s="12" t="n">
        <x:v>43</x:v>
      </x:c>
      <x:c r="N237" s="2" t="str">
        <x:v>2017-03</x:v>
      </x:c>
    </x:row>
    <x:row r="238" ht="22" customHeight="1">
      <x:c r="A238" s="8" t="d">
        <x:v>2017-04-28T00:00:00.000Z</x:v>
      </x:c>
      <x:c r="B238" s="8" t="d">
        <x:v>2017-04-03T00:00:00.000Z</x:v>
      </x:c>
      <x:c r="C238" s="2" t="str">
        <x:v>MU</x:v>
      </x:c>
      <x:c r="D238" s="11" t="n">
        <x:f>232*'Summary'!$C$18</x:f>
        <x:v>232000</x:v>
      </x:c>
      <x:c r="E238" s="2" t="n">
        <x:v>505</x:v>
      </x:c>
      <x:c r="F238" s="2" t="n">
        <x:v>505</x:v>
      </x:c>
      <x:c r="G238" s="9" t="n">
        <x:f>F238/E238</x:f>
        <x:v>1</x:v>
      </x:c>
      <x:c r="H238" s="11" t="n">
        <x:f>K238*'Summary'!$C$18</x:f>
        <x:v>784917.7689555365</x:v>
      </x:c>
      <x:c r="I238" s="11" t="n">
        <x:f>L238*'Summary'!$C$18</x:f>
        <x:v>529491.4761325215</x:v>
      </x:c>
      <x:c r="J238" s="11" t="n">
        <x:f>M238*'Summary'!$C$18</x:f>
        <x:v>43000</x:v>
      </x:c>
      <x:c r="K238" s="12" t="n">
        <x:v>784.9177689555365</x:v>
      </x:c>
      <x:c r="L238" s="12" t="n">
        <x:v>529.4914761325215</x:v>
      </x:c>
      <x:c r="M238" s="12" t="n">
        <x:v>43</x:v>
      </x:c>
      <x:c r="N238" s="2" t="str">
        <x:v>2017-04</x:v>
      </x:c>
    </x:row>
    <x:row r="239" ht="22" customHeight="1">
      <x:c r="A239" s="8" t="d">
        <x:v>2017-05-31T00:00:00.000Z</x:v>
      </x:c>
      <x:c r="B239" s="8" t="d">
        <x:v>2017-05-01T00:00:00.000Z</x:v>
      </x:c>
      <x:c r="C239" s="2" t="str">
        <x:v>BCR-201712</x:v>
      </x:c>
      <x:c r="D239" s="11" t="n">
        <x:f>233*'Summary'!$C$18</x:f>
        <x:v>233000</x:v>
      </x:c>
      <x:c r="E239" s="2" t="n">
        <x:v>505</x:v>
      </x:c>
      <x:c r="F239" s="2" t="n">
        <x:v>505</x:v>
      </x:c>
      <x:c r="G239" s="9" t="n">
        <x:f>F239/E239</x:f>
        <x:v>1</x:v>
      </x:c>
      <x:c r="H239" s="11" t="n">
        <x:f>K239*'Summary'!$C$18</x:f>
        <x:v>823322.6268573138</x:v>
      </x:c>
      <x:c r="I239" s="11" t="n">
        <x:f>L239*'Summary'!$C$18</x:f>
        <x:v>537975.7030340551</x:v>
      </x:c>
      <x:c r="J239" s="11" t="n">
        <x:f>M239*'Summary'!$C$18</x:f>
        <x:v>44000</x:v>
      </x:c>
      <x:c r="K239" s="12" t="n">
        <x:v>823.3226268573138</x:v>
      </x:c>
      <x:c r="L239" s="12" t="n">
        <x:v>537.9757030340551</x:v>
      </x:c>
      <x:c r="M239" s="12" t="n">
        <x:v>44</x:v>
      </x:c>
      <x:c r="N239" s="2" t="str">
        <x:v>2017-05</x:v>
      </x:c>
    </x:row>
    <x:row r="240" ht="22" customHeight="1">
      <x:c r="A240" s="8" t="d">
        <x:v>2017-06-30T00:00:00.000Z</x:v>
      </x:c>
      <x:c r="B240" s="8" t="d">
        <x:v>2017-06-01T00:00:00.000Z</x:v>
      </x:c>
      <x:c r="C240" s="2" t="str">
        <x:v>NVDA</x:v>
      </x:c>
      <x:c r="D240" s="11" t="n">
        <x:f>234*'Summary'!$C$18</x:f>
        <x:v>234000</x:v>
      </x:c>
      <x:c r="E240" s="2" t="n">
        <x:v>505</x:v>
      </x:c>
      <x:c r="F240" s="2" t="n">
        <x:v>505</x:v>
      </x:c>
      <x:c r="G240" s="9" t="n">
        <x:f>F240/E240</x:f>
        <x:v>1</x:v>
      </x:c>
      <x:c r="H240" s="11" t="n">
        <x:f>K240*'Summary'!$C$18</x:f>
        <x:v>814596.2830799764</x:v>
      </x:c>
      <x:c r="I240" s="11" t="n">
        <x:f>L240*'Summary'!$C$18</x:f>
        <x:v>542409.4302184049</x:v>
      </x:c>
      <x:c r="J240" s="11" t="n">
        <x:f>M240*'Summary'!$C$18</x:f>
        <x:v>44000</x:v>
      </x:c>
      <x:c r="K240" s="12" t="n">
        <x:v>814.5962830799765</x:v>
      </x:c>
      <x:c r="L240" s="12" t="n">
        <x:v>542.4094302184049</x:v>
      </x:c>
      <x:c r="M240" s="12" t="n">
        <x:v>44</x:v>
      </x:c>
      <x:c r="N240" s="2" t="str">
        <x:v>2017-06</x:v>
      </x:c>
    </x:row>
    <x:row r="241" ht="22" customHeight="1">
      <x:c r="A241" s="8" t="d">
        <x:v>2017-07-31T00:00:00.000Z</x:v>
      </x:c>
      <x:c r="B241" s="8" t="d">
        <x:v>2017-07-03T00:00:00.000Z</x:v>
      </x:c>
      <x:c r="C241" s="2" t="str">
        <x:v>SIG</x:v>
      </x:c>
      <x:c r="D241" s="11" t="n">
        <x:f>235*'Summary'!$C$18</x:f>
        <x:v>235000</x:v>
      </x:c>
      <x:c r="E241" s="2" t="n">
        <x:v>505</x:v>
      </x:c>
      <x:c r="F241" s="2" t="n">
        <x:v>505</x:v>
      </x:c>
      <x:c r="G241" s="9" t="n">
        <x:f>F241/E241</x:f>
        <x:v>1</x:v>
      </x:c>
      <x:c r="H241" s="11" t="n">
        <x:f>K241*'Summary'!$C$18</x:f>
        <x:v>820319.368877549</x:v>
      </x:c>
      <x:c r="I241" s="11" t="n">
        <x:f>L241*'Summary'!$C$18</x:f>
        <x:v>554574.2283906864</x:v>
      </x:c>
      <x:c r="J241" s="11" t="n">
        <x:f>M241*'Summary'!$C$18</x:f>
        <x:v>45000</x:v>
      </x:c>
      <x:c r="K241" s="12" t="n">
        <x:v>820.319368877549</x:v>
      </x:c>
      <x:c r="L241" s="12" t="n">
        <x:v>554.5742283906865</x:v>
      </x:c>
      <x:c r="M241" s="12" t="n">
        <x:v>45</x:v>
      </x:c>
      <x:c r="N241" s="2" t="str">
        <x:v>2017-07</x:v>
      </x:c>
    </x:row>
    <x:row r="242" ht="22" customHeight="1">
      <x:c r="A242" s="8" t="d">
        <x:v>2017-08-31T00:00:00.000Z</x:v>
      </x:c>
      <x:c r="B242" s="8" t="d">
        <x:v>2017-08-01T00:00:00.000Z</x:v>
      </x:c>
      <x:c r="C242" s="2" t="str">
        <x:v>NRG</x:v>
      </x:c>
      <x:c r="D242" s="11" t="n">
        <x:f>236*'Summary'!$C$18</x:f>
        <x:v>236000</x:v>
      </x:c>
      <x:c r="E242" s="2" t="n">
        <x:v>505</x:v>
      </x:c>
      <x:c r="F242" s="2" t="n">
        <x:v>505</x:v>
      </x:c>
      <x:c r="G242" s="9" t="n">
        <x:f>F242/E242</x:f>
        <x:v>1</x:v>
      </x:c>
      <x:c r="H242" s="11" t="n">
        <x:f>K242*'Summary'!$C$18</x:f>
        <x:v>846000.5929296438</x:v>
      </x:c>
      <x:c r="I242" s="11" t="n">
        <x:f>L242*'Summary'!$C$18</x:f>
        <x:v>557192.4316978995</x:v>
      </x:c>
      <x:c r="J242" s="11" t="n">
        <x:f>M242*'Summary'!$C$18</x:f>
        <x:v>47000</x:v>
      </x:c>
      <x:c r="K242" s="12" t="n">
        <x:v>846.0005929296439</x:v>
      </x:c>
      <x:c r="L242" s="12" t="n">
        <x:v>557.1924316978995</x:v>
      </x:c>
      <x:c r="M242" s="12" t="n">
        <x:v>47</x:v>
      </x:c>
      <x:c r="N242" s="2" t="str">
        <x:v>2017-08</x:v>
      </x:c>
    </x:row>
    <x:row r="243" ht="22" customHeight="1">
      <x:c r="A243" s="8" t="d">
        <x:v>2017-09-29T00:00:00.000Z</x:v>
      </x:c>
      <x:c r="B243" s="8" t="d">
        <x:v>2017-09-01T00:00:00.000Z</x:v>
      </x:c>
      <x:c r="C243" s="2" t="str">
        <x:v>COL-201811</x:v>
      </x:c>
      <x:c r="D243" s="11" t="n">
        <x:f>237*'Summary'!$C$18</x:f>
        <x:v>237000</x:v>
      </x:c>
      <x:c r="E243" s="2" t="n">
        <x:v>505</x:v>
      </x:c>
      <x:c r="F243" s="2" t="n">
        <x:v>505</x:v>
      </x:c>
      <x:c r="G243" s="9" t="n">
        <x:f>F243/E243</x:f>
        <x:v>1</x:v>
      </x:c>
      <x:c r="H243" s="11" t="n">
        <x:f>K243*'Summary'!$C$18</x:f>
        <x:v>842155.3275438405</x:v>
      </x:c>
      <x:c r="I243" s="11" t="n">
        <x:f>L243*'Summary'!$C$18</x:f>
        <x:v>569437.9085346011</x:v>
      </x:c>
      <x:c r="J243" s="11" t="n">
        <x:f>M243*'Summary'!$C$18</x:f>
        <x:v>48000</x:v>
      </x:c>
      <x:c r="K243" s="12" t="n">
        <x:v>842.1553275438405</x:v>
      </x:c>
      <x:c r="L243" s="12" t="n">
        <x:v>569.4379085346011</x:v>
      </x:c>
      <x:c r="M243" s="12" t="n">
        <x:v>48</x:v>
      </x:c>
      <x:c r="N243" s="2" t="str">
        <x:v>2017-09</x:v>
      </x:c>
    </x:row>
    <x:row r="244" ht="22" customHeight="1">
      <x:c r="A244" s="8" t="d">
        <x:v>2017-10-31T00:00:00.000Z</x:v>
      </x:c>
      <x:c r="B244" s="8" t="d">
        <x:v>2017-10-02T00:00:00.000Z</x:v>
      </x:c>
      <x:c r="C244" s="2" t="str">
        <x:v>GAP</x:v>
      </x:c>
      <x:c r="D244" s="11" t="n">
        <x:f>238*'Summary'!$C$18</x:f>
        <x:v>238000</x:v>
      </x:c>
      <x:c r="E244" s="2" t="n">
        <x:v>505</x:v>
      </x:c>
      <x:c r="F244" s="2" t="n">
        <x:v>505</x:v>
      </x:c>
      <x:c r="G244" s="9" t="n">
        <x:f>F244/E244</x:f>
        <x:v>1</x:v>
      </x:c>
      <x:c r="H244" s="11" t="n">
        <x:f>K244*'Summary'!$C$18</x:f>
        <x:v>892729.6125316971</x:v>
      </x:c>
      <x:c r="I244" s="11" t="n">
        <x:f>L244*'Summary'!$C$18</x:f>
        <x:v>583878.682207742</x:v>
      </x:c>
      <x:c r="J244" s="11" t="n">
        <x:f>M244*'Summary'!$C$18</x:f>
        <x:v>48000</x:v>
      </x:c>
      <x:c r="K244" s="12" t="n">
        <x:v>892.7296125316972</x:v>
      </x:c>
      <x:c r="L244" s="12" t="n">
        <x:v>583.878682207742</x:v>
      </x:c>
      <x:c r="M244" s="12" t="n">
        <x:v>48</x:v>
      </x:c>
      <x:c r="N244" s="2" t="str">
        <x:v>2017-10</x:v>
      </x:c>
    </x:row>
    <x:row r="245" ht="22" customHeight="1">
      <x:c r="A245" s="8" t="d">
        <x:v>2017-11-30T00:00:00.000Z</x:v>
      </x:c>
      <x:c r="B245" s="8" t="d">
        <x:v>2017-11-01T00:00:00.000Z</x:v>
      </x:c>
      <x:c r="C245" s="2" t="str">
        <x:v>ALGN</x:v>
      </x:c>
      <x:c r="D245" s="11" t="n">
        <x:f>239*'Summary'!$C$18</x:f>
        <x:v>239000</x:v>
      </x:c>
      <x:c r="E245" s="2" t="n">
        <x:v>505</x:v>
      </x:c>
      <x:c r="F245" s="2" t="n">
        <x:v>505</x:v>
      </x:c>
      <x:c r="G245" s="9" t="n">
        <x:f>F245/E245</x:f>
        <x:v>1</x:v>
      </x:c>
      <x:c r="H245" s="11" t="n">
        <x:f>K245*'Summary'!$C$18</x:f>
        <x:v>916093.9038961411</x:v>
      </x:c>
      <x:c r="I245" s="11" t="n">
        <x:f>L245*'Summary'!$C$18</x:f>
        <x:v>602752.4592929261</x:v>
      </x:c>
      <x:c r="J245" s="11" t="n">
        <x:f>M245*'Summary'!$C$18</x:f>
        <x:v>48000</x:v>
      </x:c>
      <x:c r="K245" s="12" t="n">
        <x:v>916.0939038961411</x:v>
      </x:c>
      <x:c r="L245" s="12" t="n">
        <x:v>602.7524592929261</x:v>
      </x:c>
      <x:c r="M245" s="12" t="n">
        <x:v>48</x:v>
      </x:c>
      <x:c r="N245" s="2" t="str">
        <x:v>2017-11</x:v>
      </x:c>
    </x:row>
    <x:row r="246" ht="22" customHeight="1">
      <x:c r="A246" s="8" t="d">
        <x:v>2017-12-29T00:00:00.000Z</x:v>
      </x:c>
      <x:c r="B246" s="8" t="d">
        <x:v>2017-12-01T00:00:00.000Z</x:v>
      </x:c>
      <x:c r="C246" s="2" t="str">
        <x:v>FL</x:v>
      </x:c>
      <x:c r="D246" s="11" t="n">
        <x:f>240*'Summary'!$C$18</x:f>
        <x:v>240000</x:v>
      </x:c>
      <x:c r="E246" s="2" t="n">
        <x:v>505</x:v>
      </x:c>
      <x:c r="F246" s="2" t="n">
        <x:v>505</x:v>
      </x:c>
      <x:c r="G246" s="9" t="n">
        <x:f>F246/E246</x:f>
        <x:v>1</x:v>
      </x:c>
      <x:c r="H246" s="11" t="n">
        <x:f>K246*'Summary'!$C$18</x:f>
        <x:v>910058.9938990496</x:v>
      </x:c>
      <x:c r="I246" s="11" t="n">
        <x:f>L246*'Summary'!$C$18</x:f>
        <x:v>611075.6641789699</x:v>
      </x:c>
      <x:c r="J246" s="11" t="n">
        <x:f>M246*'Summary'!$C$18</x:f>
        <x:v>49000</x:v>
      </x:c>
      <x:c r="K246" s="12" t="n">
        <x:v>910.0589938990496</x:v>
      </x:c>
      <x:c r="L246" s="12" t="n">
        <x:v>611.0756641789699</x:v>
      </x:c>
      <x:c r="M246" s="12" t="n">
        <x:v>49</x:v>
      </x:c>
      <x:c r="N246" s="2" t="str">
        <x:v>2017-12</x:v>
      </x:c>
    </x:row>
    <x:row r="247" ht="22" customHeight="1">
      <x:c r="A247" s="8" t="d">
        <x:v>2018-01-31T00:00:00.000Z</x:v>
      </x:c>
      <x:c r="B247" s="8" t="d">
        <x:v>2018-01-02T00:00:00.000Z</x:v>
      </x:c>
      <x:c r="C247" s="2" t="str">
        <x:v>FCX</x:v>
      </x:c>
      <x:c r="D247" s="11" t="n">
        <x:f>241*'Summary'!$C$18</x:f>
        <x:v>241000</x:v>
      </x:c>
      <x:c r="E247" s="2" t="n">
        <x:v>505</x:v>
      </x:c>
      <x:c r="F247" s="2" t="n">
        <x:v>504</x:v>
      </x:c>
      <x:c r="G247" s="9" t="n">
        <x:f>F247/E247</x:f>
        <x:v>0.998019801980198</x:v>
      </x:c>
      <x:c r="H247" s="11" t="n">
        <x:f>K247*'Summary'!$C$18</x:f>
        <x:v>974983.5575869783</x:v>
      </x:c>
      <x:c r="I247" s="11" t="n">
        <x:f>L247*'Summary'!$C$18</x:f>
        <x:v>646567.878331371</x:v>
      </x:c>
      <x:c r="J247" s="11" t="n">
        <x:f>M247*'Summary'!$C$18</x:f>
        <x:v>49000</x:v>
      </x:c>
      <x:c r="K247" s="12" t="n">
        <x:v>974.9835575869783</x:v>
      </x:c>
      <x:c r="L247" s="12" t="n">
        <x:v>646.567878331371</x:v>
      </x:c>
      <x:c r="M247" s="12" t="n">
        <x:v>49</x:v>
      </x:c>
      <x:c r="N247" s="2" t="str">
        <x:v>2018-01</x:v>
      </x:c>
    </x:row>
    <x:row r="248" ht="22" customHeight="1">
      <x:c r="A248" s="8" t="d">
        <x:v>2018-02-28T00:00:00.000Z</x:v>
      </x:c>
      <x:c r="B248" s="8" t="d">
        <x:v>2018-02-01T00:00:00.000Z</x:v>
      </x:c>
      <x:c r="C248" s="2" t="str">
        <x:v>NFLX</x:v>
      </x:c>
      <x:c r="D248" s="11" t="n">
        <x:f>242*'Summary'!$C$18</x:f>
        <x:v>242000</x:v>
      </x:c>
      <x:c r="E248" s="2" t="n">
        <x:v>505</x:v>
      </x:c>
      <x:c r="F248" s="2" t="n">
        <x:v>505</x:v>
      </x:c>
      <x:c r="G248" s="9" t="n">
        <x:f>F248/E248</x:f>
        <x:v>1</x:v>
      </x:c>
      <x:c r="H248" s="11" t="n">
        <x:f>K248*'Summary'!$C$18</x:f>
        <x:v>988449.9592179038</x:v>
      </x:c>
      <x:c r="I248" s="11" t="n">
        <x:f>L248*'Summary'!$C$18</x:f>
        <x:v>624024.8888795843</x:v>
      </x:c>
      <x:c r="J248" s="11" t="n">
        <x:f>M248*'Summary'!$C$18</x:f>
        <x:v>49000</x:v>
      </x:c>
      <x:c r="K248" s="12" t="n">
        <x:v>988.4499592179038</x:v>
      </x:c>
      <x:c r="L248" s="12" t="n">
        <x:v>624.0248888795843</x:v>
      </x:c>
      <x:c r="M248" s="12" t="n">
        <x:v>49</x:v>
      </x:c>
      <x:c r="N248" s="2" t="str">
        <x:v>2018-02</x:v>
      </x:c>
    </x:row>
    <x:row r="249" ht="22" customHeight="1">
      <x:c r="A249" s="8" t="d">
        <x:v>2018-03-29T00:00:00.000Z</x:v>
      </x:c>
      <x:c r="B249" s="8" t="d">
        <x:v>2018-03-01T00:00:00.000Z</x:v>
      </x:c>
      <x:c r="C249" s="2" t="str">
        <x:v>CSRA-201804</x:v>
      </x:c>
      <x:c r="D249" s="11" t="n">
        <x:f>243*'Summary'!$C$18</x:f>
        <x:v>243000</x:v>
      </x:c>
      <x:c r="E249" s="2" t="n">
        <x:v>505</x:v>
      </x:c>
      <x:c r="F249" s="2" t="n">
        <x:v>505</x:v>
      </x:c>
      <x:c r="G249" s="9" t="n">
        <x:f>F249/E249</x:f>
        <x:v>1</x:v>
      </x:c>
      <x:c r="H249" s="11" t="n">
        <x:f>K249*'Summary'!$C$18</x:f>
        <x:v>951005.7309914124</x:v>
      </x:c>
      <x:c r="I249" s="11" t="n">
        <x:f>L249*'Summary'!$C$18</x:f>
        <x:v>607893.4941328445</x:v>
      </x:c>
      <x:c r="J249" s="11" t="n">
        <x:f>M249*'Summary'!$C$18</x:f>
        <x:v>57000</x:v>
      </x:c>
      <x:c r="K249" s="12" t="n">
        <x:v>951.0057309914124</x:v>
      </x:c>
      <x:c r="L249" s="12" t="n">
        <x:v>607.8934941328445</x:v>
      </x:c>
      <x:c r="M249" s="12" t="n">
        <x:v>57</x:v>
      </x:c>
      <x:c r="N249" s="2" t="str">
        <x:v>2018-03</x:v>
      </x:c>
    </x:row>
    <x:row r="250" ht="22" customHeight="1">
      <x:c r="A250" s="8" t="d">
        <x:v>2018-04-30T00:00:00.000Z</x:v>
      </x:c>
      <x:c r="B250" s="8" t="d">
        <x:v>2018-04-02T00:00:00.000Z</x:v>
      </x:c>
      <x:c r="C250" s="2" t="str">
        <x:v>XL-201809</x:v>
      </x:c>
      <x:c r="D250" s="11" t="n">
        <x:f>244*'Summary'!$C$18</x:f>
        <x:v>244000</x:v>
      </x:c>
      <x:c r="E250" s="2" t="n">
        <x:v>505</x:v>
      </x:c>
      <x:c r="F250" s="2" t="n">
        <x:v>505</x:v>
      </x:c>
      <x:c r="G250" s="9" t="n">
        <x:f>F250/E250</x:f>
        <x:v>1</x:v>
      </x:c>
      <x:c r="H250" s="11" t="n">
        <x:f>K250*'Summary'!$C$18</x:f>
        <x:v>957788.2706507049</x:v>
      </x:c>
      <x:c r="I250" s="11" t="n">
        <x:f>L250*'Summary'!$C$18</x:f>
        <x:v>612042.6840233384</x:v>
      </x:c>
      <x:c r="J250" s="11" t="n">
        <x:f>M250*'Summary'!$C$18</x:f>
        <x:v>58000</x:v>
      </x:c>
      <x:c r="K250" s="12" t="n">
        <x:v>957.7882706507048</x:v>
      </x:c>
      <x:c r="L250" s="12" t="n">
        <x:v>612.0426840233383</x:v>
      </x:c>
      <x:c r="M250" s="12" t="n">
        <x:v>58</x:v>
      </x:c>
      <x:c r="N250" s="2" t="str">
        <x:v>2018-04</x:v>
      </x:c>
    </x:row>
    <x:row r="251" ht="22" customHeight="1">
      <x:c r="A251" s="8" t="d">
        <x:v>2018-05-31T00:00:00.000Z</x:v>
      </x:c>
      <x:c r="B251" s="8" t="d">
        <x:v>2018-05-01T00:00:00.000Z</x:v>
      </x:c>
      <x:c r="C251" s="2" t="str">
        <x:v>ANDV-201809</x:v>
      </x:c>
      <x:c r="D251" s="11" t="n">
        <x:f>245*'Summary'!$C$18</x:f>
        <x:v>245000</x:v>
      </x:c>
      <x:c r="E251" s="2" t="n">
        <x:v>505</x:v>
      </x:c>
      <x:c r="F251" s="2" t="n">
        <x:v>505</x:v>
      </x:c>
      <x:c r="G251" s="9" t="n">
        <x:f>F251/E251</x:f>
        <x:v>1</x:v>
      </x:c>
      <x:c r="H251" s="11" t="n">
        <x:f>K251*'Summary'!$C$18</x:f>
        <x:v>1035521.9567210393</x:v>
      </x:c>
      <x:c r="I251" s="11" t="n">
        <x:f>L251*'Summary'!$C$18</x:f>
        <x:v>627947.6667660018</x:v>
      </x:c>
      <x:c r="J251" s="11" t="n">
        <x:f>M251*'Summary'!$C$18</x:f>
        <x:v>58000</x:v>
      </x:c>
      <x:c r="K251" s="12" t="n">
        <x:v>1035.5219567210393</x:v>
      </x:c>
      <x:c r="L251" s="12" t="n">
        <x:v>627.9476667660018</x:v>
      </x:c>
      <x:c r="M251" s="12" t="n">
        <x:v>58</x:v>
      </x:c>
      <x:c r="N251" s="2" t="str">
        <x:v>2018-05</x:v>
      </x:c>
    </x:row>
    <x:row r="252" ht="22" customHeight="1">
      <x:c r="A252" s="8" t="d">
        <x:v>2018-06-29T00:00:00.000Z</x:v>
      </x:c>
      <x:c r="B252" s="8" t="d">
        <x:v>2018-06-01T00:00:00.000Z</x:v>
      </x:c>
      <x:c r="C252" s="2" t="str">
        <x:v>TRIP</x:v>
      </x:c>
      <x:c r="D252" s="11" t="n">
        <x:f>246*'Summary'!$C$18</x:f>
        <x:v>246000</x:v>
      </x:c>
      <x:c r="E252" s="2" t="n">
        <x:v>505</x:v>
      </x:c>
      <x:c r="F252" s="2" t="n">
        <x:v>505</x:v>
      </x:c>
      <x:c r="G252" s="9" t="n">
        <x:f>F252/E252</x:f>
        <x:v>1</x:v>
      </x:c>
      <x:c r="H252" s="11" t="n">
        <x:f>K252*'Summary'!$C$18</x:f>
        <x:v>1036217.3532588661</x:v>
      </x:c>
      <x:c r="I252" s="11" t="n">
        <x:f>L252*'Summary'!$C$18</x:f>
        <x:v>632559.2297469855</x:v>
      </x:c>
      <x:c r="J252" s="11" t="n">
        <x:f>M252*'Summary'!$C$18</x:f>
        <x:v>60000</x:v>
      </x:c>
      <x:c r="K252" s="12" t="n">
        <x:v>1036.217353258866</x:v>
      </x:c>
      <x:c r="L252" s="12" t="n">
        <x:v>632.5592297469855</x:v>
      </x:c>
      <x:c r="M252" s="12" t="n">
        <x:v>60</x:v>
      </x:c>
      <x:c r="N252" s="2" t="str">
        <x:v>2018-06</x:v>
      </x:c>
    </x:row>
    <x:row r="253" ht="22" customHeight="1">
      <x:c r="A253" s="8" t="d">
        <x:v>2018-07-31T00:00:00.000Z</x:v>
      </x:c>
      <x:c r="B253" s="8" t="d">
        <x:v>2018-07-02T00:00:00.000Z</x:v>
      </x:c>
      <x:c r="C253" s="2" t="str">
        <x:v>WBD</x:v>
      </x:c>
      <x:c r="D253" s="11" t="n">
        <x:f>247*'Summary'!$C$18</x:f>
        <x:v>247000</x:v>
      </x:c>
      <x:c r="E253" s="2" t="n">
        <x:v>505</x:v>
      </x:c>
      <x:c r="F253" s="2" t="n">
        <x:v>505</x:v>
      </x:c>
      <x:c r="G253" s="9" t="n">
        <x:f>F253/E253</x:f>
        <x:v>1</x:v>
      </x:c>
      <x:c r="H253" s="11" t="n">
        <x:f>K253*'Summary'!$C$18</x:f>
        <x:v>1047494.1447782514</x:v>
      </x:c>
      <x:c r="I253" s="11" t="n">
        <x:f>L253*'Summary'!$C$18</x:f>
        <x:v>657037.2235886981</x:v>
      </x:c>
      <x:c r="J253" s="11" t="n">
        <x:f>M253*'Summary'!$C$18</x:f>
        <x:v>60000</x:v>
      </x:c>
      <x:c r="K253" s="12" t="n">
        <x:v>1047.4941447782514</x:v>
      </x:c>
      <x:c r="L253" s="12" t="n">
        <x:v>657.0372235886981</x:v>
      </x:c>
      <x:c r="M253" s="12" t="n">
        <x:v>60</x:v>
      </x:c>
      <x:c r="N253" s="2" t="str">
        <x:v>2018-07</x:v>
      </x:c>
    </x:row>
    <x:row r="254" ht="22" customHeight="1">
      <x:c r="A254" s="8" t="d">
        <x:v>2018-08-31T00:00:00.000Z</x:v>
      </x:c>
      <x:c r="B254" s="8" t="d">
        <x:v>2018-08-01T00:00:00.000Z</x:v>
      </x:c>
      <x:c r="C254" s="2" t="str">
        <x:v>HWM</x:v>
      </x:c>
      <x:c r="D254" s="11" t="n">
        <x:f>248*'Summary'!$C$18</x:f>
        <x:v>248000</x:v>
      </x:c>
      <x:c r="E254" s="2" t="n">
        <x:v>505</x:v>
      </x:c>
      <x:c r="F254" s="2" t="n">
        <x:v>505</x:v>
      </x:c>
      <x:c r="G254" s="9" t="n">
        <x:f>F254/E254</x:f>
        <x:v>1</x:v>
      </x:c>
      <x:c r="H254" s="11" t="n">
        <x:f>K254*'Summary'!$C$18</x:f>
        <x:v>1160984.1601322477</x:v>
      </x:c>
      <x:c r="I254" s="11" t="n">
        <x:f>L254*'Summary'!$C$18</x:f>
        <x:v>679040.8301014187</x:v>
      </x:c>
      <x:c r="J254" s="11" t="n">
        <x:f>M254*'Summary'!$C$18</x:f>
        <x:v>60000</x:v>
      </x:c>
      <x:c r="K254" s="12" t="n">
        <x:v>1160.9841601322478</x:v>
      </x:c>
      <x:c r="L254" s="12" t="n">
        <x:v>679.0408301014187</x:v>
      </x:c>
      <x:c r="M254" s="12" t="n">
        <x:v>60</x:v>
      </x:c>
      <x:c r="N254" s="2" t="str">
        <x:v>2018-08</x:v>
      </x:c>
    </x:row>
    <x:row r="255" ht="22" customHeight="1">
      <x:c r="A255" s="8" t="d">
        <x:v>2018-09-28T00:00:00.000Z</x:v>
      </x:c>
      <x:c r="B255" s="8" t="d">
        <x:v>2018-09-04T00:00:00.000Z</x:v>
      </x:c>
      <x:c r="C255" s="2" t="str">
        <x:v>AMD</x:v>
      </x:c>
      <x:c r="D255" s="11" t="n">
        <x:f>249*'Summary'!$C$18</x:f>
        <x:v>249000</x:v>
      </x:c>
      <x:c r="E255" s="2" t="n">
        <x:v>505</x:v>
      </x:c>
      <x:c r="F255" s="2" t="n">
        <x:v>505</x:v>
      </x:c>
      <x:c r="G255" s="9" t="n">
        <x:f>F255/E255</x:f>
        <x:v>1</x:v>
      </x:c>
      <x:c r="H255" s="11" t="n">
        <x:f>K255*'Summary'!$C$18</x:f>
        <x:v>1159798.6509294445</x:v>
      </x:c>
      <x:c r="I255" s="11" t="n">
        <x:f>L255*'Summary'!$C$18</x:f>
        <x:v>684085.6625661546</x:v>
      </x:c>
      <x:c r="J255" s="11" t="n">
        <x:f>M255*'Summary'!$C$18</x:f>
        <x:v>61000</x:v>
      </x:c>
      <x:c r="K255" s="12" t="n">
        <x:v>1159.7986509294444</x:v>
      </x:c>
      <x:c r="L255" s="12" t="n">
        <x:v>684.0856625661546</x:v>
      </x:c>
      <x:c r="M255" s="12" t="n">
        <x:v>61</x:v>
      </x:c>
      <x:c r="N255" s="2" t="str">
        <x:v>2018-09</x:v>
      </x:c>
    </x:row>
    <x:row r="256" ht="22" customHeight="1">
      <x:c r="A256" s="8" t="d">
        <x:v>2018-10-31T00:00:00.000Z</x:v>
      </x:c>
      <x:c r="B256" s="8" t="d">
        <x:v>2018-10-01T00:00:00.000Z</x:v>
      </x:c>
      <x:c r="C256" s="2" t="str">
        <x:v>AMD</x:v>
      </x:c>
      <x:c r="D256" s="11" t="n">
        <x:f>250*'Summary'!$C$18</x:f>
        <x:v>250000</x:v>
      </x:c>
      <x:c r="E256" s="2" t="n">
        <x:v>505</x:v>
      </x:c>
      <x:c r="F256" s="2" t="n">
        <x:v>505</x:v>
      </x:c>
      <x:c r="G256" s="9" t="n">
        <x:f>F256/E256</x:f>
        <x:v>1</x:v>
      </x:c>
      <x:c r="H256" s="11" t="n">
        <x:f>K256*'Summary'!$C$18</x:f>
        <x:v>1044618.8703486025</x:v>
      </x:c>
      <x:c r="I256" s="11" t="n">
        <x:f>L256*'Summary'!$C$18</x:f>
        <x:v>637738.881580922</x:v>
      </x:c>
      <x:c r="J256" s="11" t="n">
        <x:f>M256*'Summary'!$C$18</x:f>
        <x:v>63000</x:v>
      </x:c>
      <x:c r="K256" s="12" t="n">
        <x:v>1044.6188703486025</x:v>
      </x:c>
      <x:c r="L256" s="12" t="n">
        <x:v>637.738881580922</x:v>
      </x:c>
      <x:c r="M256" s="12" t="n">
        <x:v>63</x:v>
      </x:c>
      <x:c r="N256" s="2" t="str">
        <x:v>2018-10</x:v>
      </x:c>
    </x:row>
    <x:row r="257" ht="22" customHeight="1">
      <x:c r="A257" s="8" t="d">
        <x:v>2018-11-30T00:00:00.000Z</x:v>
      </x:c>
      <x:c r="B257" s="8" t="d">
        <x:v>2018-11-01T00:00:00.000Z</x:v>
      </x:c>
      <x:c r="C257" s="2" t="str">
        <x:v>RHT</x:v>
      </x:c>
      <x:c r="D257" s="11" t="n">
        <x:f>251*'Summary'!$C$18</x:f>
        <x:v>251000</x:v>
      </x:c>
      <x:c r="E257" s="2" t="n">
        <x:v>505</x:v>
      </x:c>
      <x:c r="F257" s="2" t="n">
        <x:v>505</x:v>
      </x:c>
      <x:c r="G257" s="9" t="n">
        <x:f>F257/E257</x:f>
        <x:v>1</x:v>
      </x:c>
      <x:c r="H257" s="11" t="n">
        <x:f>K257*'Summary'!$C$18</x:f>
        <x:v>941146.6469655</x:v>
      </x:c>
      <x:c r="I257" s="11" t="n">
        <x:f>L257*'Summary'!$C$18</x:f>
        <x:v>650583.3838349414</x:v>
      </x:c>
      <x:c r="J257" s="11" t="n">
        <x:f>M257*'Summary'!$C$18</x:f>
        <x:v>65000</x:v>
      </x:c>
      <x:c r="K257" s="12" t="n">
        <x:v>941.1466469654999</x:v>
      </x:c>
      <x:c r="L257" s="12" t="n">
        <x:v>650.5833838349414</x:v>
      </x:c>
      <x:c r="M257" s="12" t="n">
        <x:v>65</x:v>
      </x:c>
      <x:c r="N257" s="2" t="str">
        <x:v>2018-11</x:v>
      </x:c>
    </x:row>
    <x:row r="258" ht="22" customHeight="1">
      <x:c r="A258" s="8" t="d">
        <x:v>2018-12-31T00:00:00.000Z</x:v>
      </x:c>
      <x:c r="B258" s="8" t="d">
        <x:v>2018-12-03T00:00:00.000Z</x:v>
      </x:c>
      <x:c r="C258" s="2" t="str">
        <x:v>NWL</x:v>
      </x:c>
      <x:c r="D258" s="11" t="n">
        <x:f>252*'Summary'!$C$18</x:f>
        <x:v>252000</x:v>
      </x:c>
      <x:c r="E258" s="2" t="n">
        <x:v>505</x:v>
      </x:c>
      <x:c r="F258" s="2" t="n">
        <x:v>503</x:v>
      </x:c>
      <x:c r="G258" s="9" t="n">
        <x:f>F258/E258</x:f>
        <x:v>0.996039603960396</x:v>
      </x:c>
      <x:c r="H258" s="11" t="n">
        <x:f>K258*'Summary'!$C$18</x:f>
        <x:v>837161.9560747691</x:v>
      </x:c>
      <x:c r="I258" s="11" t="n">
        <x:f>L258*'Summary'!$C$18</x:f>
        <x:v>594197.4069296188</x:v>
      </x:c>
      <x:c r="J258" s="11" t="n">
        <x:f>M258*'Summary'!$C$18</x:f>
        <x:v>65000</x:v>
      </x:c>
      <x:c r="K258" s="12" t="n">
        <x:v>837.1619560747691</x:v>
      </x:c>
      <x:c r="L258" s="12" t="n">
        <x:v>594.1974069296188</x:v>
      </x:c>
      <x:c r="M258" s="12" t="n">
        <x:v>65</x:v>
      </x:c>
      <x:c r="N258" s="2" t="str">
        <x:v>2018-12</x:v>
      </x:c>
    </x:row>
    <x:row r="259" ht="22" customHeight="1">
      <x:c r="A259" s="8" t="d">
        <x:v>2019-01-31T00:00:00.000Z</x:v>
      </x:c>
      <x:c r="B259" s="8" t="d">
        <x:v>2019-01-02T00:00:00.000Z</x:v>
      </x:c>
      <x:c r="C259" s="2" t="str">
        <x:v>AVGO</x:v>
      </x:c>
      <x:c r="D259" s="11" t="n">
        <x:f>253*'Summary'!$C$18</x:f>
        <x:v>253000</x:v>
      </x:c>
      <x:c r="E259" s="2" t="n">
        <x:v>505</x:v>
      </x:c>
      <x:c r="F259" s="2" t="n">
        <x:v>505</x:v>
      </x:c>
      <x:c r="G259" s="9" t="n">
        <x:f>F259/E259</x:f>
        <x:v>1</x:v>
      </x:c>
      <x:c r="H259" s="11" t="n">
        <x:f>K259*'Summary'!$C$18</x:f>
        <x:v>919246.6190898808</x:v>
      </x:c>
      <x:c r="I259" s="11" t="n">
        <x:f>L259*'Summary'!$C$18</x:f>
        <x:v>642869.544230102</x:v>
      </x:c>
      <x:c r="J259" s="11" t="n">
        <x:f>M259*'Summary'!$C$18</x:f>
        <x:v>65000</x:v>
      </x:c>
      <x:c r="K259" s="12" t="n">
        <x:v>919.2466190898808</x:v>
      </x:c>
      <x:c r="L259" s="12" t="n">
        <x:v>642.869544230102</x:v>
      </x:c>
      <x:c r="M259" s="12" t="n">
        <x:v>65</x:v>
      </x:c>
      <x:c r="N259" s="2" t="str">
        <x:v>2019-01</x:v>
      </x:c>
    </x:row>
    <x:row r="260" ht="22" customHeight="1">
      <x:c r="A260" s="8" t="d">
        <x:v>2019-02-28T00:00:00.000Z</x:v>
      </x:c>
      <x:c r="B260" s="8" t="d">
        <x:v>2019-02-01T00:00:00.000Z</x:v>
      </x:c>
      <x:c r="C260" s="2" t="str">
        <x:v>XRX</x:v>
      </x:c>
      <x:c r="D260" s="11" t="n">
        <x:f>254*'Summary'!$C$18</x:f>
        <x:v>254000</x:v>
      </x:c>
      <x:c r="E260" s="2" t="n">
        <x:v>505</x:v>
      </x:c>
      <x:c r="F260" s="2" t="n">
        <x:v>505</x:v>
      </x:c>
      <x:c r="G260" s="9" t="n">
        <x:f>F260/E260</x:f>
        <x:v>1</x:v>
      </x:c>
      <x:c r="H260" s="11" t="n">
        <x:f>K260*'Summary'!$C$18</x:f>
        <x:v>956145.9101729915</x:v>
      </x:c>
      <x:c r="I260" s="11" t="n">
        <x:f>L260*'Summary'!$C$18</x:f>
        <x:v>664740.2578119602</x:v>
      </x:c>
      <x:c r="J260" s="11" t="n">
        <x:f>M260*'Summary'!$C$18</x:f>
        <x:v>65000</x:v>
      </x:c>
      <x:c r="K260" s="12" t="n">
        <x:v>956.1459101729914</x:v>
      </x:c>
      <x:c r="L260" s="12" t="n">
        <x:v>664.7402578119602</x:v>
      </x:c>
      <x:c r="M260" s="12" t="n">
        <x:v>65</x:v>
      </x:c>
      <x:c r="N260" s="2" t="str">
        <x:v>2019-02</x:v>
      </x:c>
    </x:row>
    <x:row r="261" ht="22" customHeight="1">
      <x:c r="A261" s="8" t="d">
        <x:v>2019-03-29T00:00:00.000Z</x:v>
      </x:c>
      <x:c r="B261" s="8" t="d">
        <x:v>2019-03-01T00:00:00.000Z</x:v>
      </x:c>
      <x:c r="C261" s="2" t="str">
        <x:v>COTY</x:v>
      </x:c>
      <x:c r="D261" s="11" t="n">
        <x:f>255*'Summary'!$C$18</x:f>
        <x:v>255000</x:v>
      </x:c>
      <x:c r="E261" s="2" t="n">
        <x:v>505</x:v>
      </x:c>
      <x:c r="F261" s="2" t="n">
        <x:v>505</x:v>
      </x:c>
      <x:c r="G261" s="9" t="n">
        <x:f>F261/E261</x:f>
        <x:v>1</x:v>
      </x:c>
      <x:c r="H261" s="11" t="n">
        <x:f>K261*'Summary'!$C$18</x:f>
        <x:v>995839.5623831074</x:v>
      </x:c>
      <x:c r="I261" s="11" t="n">
        <x:f>L261*'Summary'!$C$18</x:f>
        <x:v>677784.1390055438</x:v>
      </x:c>
      <x:c r="J261" s="11" t="n">
        <x:f>M261*'Summary'!$C$18</x:f>
        <x:v>65000</x:v>
      </x:c>
      <x:c r="K261" s="12" t="n">
        <x:v>995.8395623831074</x:v>
      </x:c>
      <x:c r="L261" s="12" t="n">
        <x:v>677.7841390055438</x:v>
      </x:c>
      <x:c r="M261" s="12" t="n">
        <x:v>65</x:v>
      </x:c>
      <x:c r="N261" s="2" t="str">
        <x:v>2019-03</x:v>
      </x:c>
    </x:row>
    <x:row r="262" ht="22" customHeight="1">
      <x:c r="A262" s="8" t="d">
        <x:v>2019-04-30T00:00:00.000Z</x:v>
      </x:c>
      <x:c r="B262" s="8" t="d">
        <x:v>2019-04-01T00:00:00.000Z</x:v>
      </x:c>
      <x:c r="C262" s="2" t="str">
        <x:v>XRAY</x:v>
      </x:c>
      <x:c r="D262" s="11" t="n">
        <x:f>256*'Summary'!$C$18</x:f>
        <x:v>256000</x:v>
      </x:c>
      <x:c r="E262" s="2" t="n">
        <x:v>505</x:v>
      </x:c>
      <x:c r="F262" s="2" t="n">
        <x:v>503</x:v>
      </x:c>
      <x:c r="G262" s="9" t="n">
        <x:f>F262/E262</x:f>
        <x:v>0.996039603960396</x:v>
      </x:c>
      <x:c r="H262" s="11" t="n">
        <x:f>K262*'Summary'!$C$18</x:f>
        <x:v>1039839.8020869318</x:v>
      </x:c>
      <x:c r="I262" s="11" t="n">
        <x:f>L262*'Summary'!$C$18</x:f>
        <x:v>706505.9638047749</x:v>
      </x:c>
      <x:c r="J262" s="11" t="n">
        <x:f>M262*'Summary'!$C$18</x:f>
        <x:v>65000</x:v>
      </x:c>
      <x:c r="K262" s="12" t="n">
        <x:v>1039.8398020869317</x:v>
      </x:c>
      <x:c r="L262" s="12" t="n">
        <x:v>706.5059638047749</x:v>
      </x:c>
      <x:c r="M262" s="12" t="n">
        <x:v>65</x:v>
      </x:c>
      <x:c r="N262" s="2" t="str">
        <x:v>2019-04</x:v>
      </x:c>
    </x:row>
    <x:row r="263" ht="22" customHeight="1">
      <x:c r="A263" s="8" t="d">
        <x:v>2019-05-31T00:00:00.000Z</x:v>
      </x:c>
      <x:c r="B263" s="8" t="d">
        <x:v>2019-05-01T00:00:00.000Z</x:v>
      </x:c>
      <x:c r="C263" s="2" t="str">
        <x:v>APC-201908</x:v>
      </x:c>
      <x:c r="D263" s="11" t="n">
        <x:f>257*'Summary'!$C$18</x:f>
        <x:v>257000</x:v>
      </x:c>
      <x:c r="E263" s="2" t="n">
        <x:v>505</x:v>
      </x:c>
      <x:c r="F263" s="2" t="n">
        <x:v>505</x:v>
      </x:c>
      <x:c r="G263" s="9" t="n">
        <x:f>F263/E263</x:f>
        <x:v>1</x:v>
      </x:c>
      <x:c r="H263" s="11" t="n">
        <x:f>K263*'Summary'!$C$18</x:f>
        <x:v>927372.2478823565</x:v>
      </x:c>
      <x:c r="I263" s="11" t="n">
        <x:f>L263*'Summary'!$C$18</x:f>
        <x:v>662385.2538816908</x:v>
      </x:c>
      <x:c r="J263" s="11" t="n">
        <x:f>M263*'Summary'!$C$18</x:f>
        <x:v>65000</x:v>
      </x:c>
      <x:c r="K263" s="12" t="n">
        <x:v>927.3722478823565</x:v>
      </x:c>
      <x:c r="L263" s="12" t="n">
        <x:v>662.3852538816908</x:v>
      </x:c>
      <x:c r="M263" s="12" t="n">
        <x:v>65</x:v>
      </x:c>
      <x:c r="N263" s="2" t="str">
        <x:v>2019-05</x:v>
      </x:c>
    </x:row>
    <x:row r="264" ht="22" customHeight="1">
      <x:c r="A264" s="8" t="d">
        <x:v>2019-06-28T00:00:00.000Z</x:v>
      </x:c>
      <x:c r="B264" s="8" t="d">
        <x:v>2019-06-03T00:00:00.000Z</x:v>
      </x:c>
      <x:c r="C264" s="2" t="str">
        <x:v>TSS</x:v>
      </x:c>
      <x:c r="D264" s="11" t="n">
        <x:f>258*'Summary'!$C$18</x:f>
        <x:v>258000</x:v>
      </x:c>
      <x:c r="E264" s="2" t="n">
        <x:v>505</x:v>
      </x:c>
      <x:c r="F264" s="2" t="n">
        <x:v>505</x:v>
      </x:c>
      <x:c r="G264" s="9" t="n">
        <x:f>F264/E264</x:f>
        <x:v>1</x:v>
      </x:c>
      <x:c r="H264" s="11" t="n">
        <x:f>K264*'Summary'!$C$18</x:f>
        <x:v>1028266.6304547096</x:v>
      </x:c>
      <x:c r="I264" s="11" t="n">
        <x:f>L264*'Summary'!$C$18</x:f>
        <x:v>709547.7338808075</x:v>
      </x:c>
      <x:c r="J264" s="11" t="n">
        <x:f>M264*'Summary'!$C$18</x:f>
        <x:v>65000</x:v>
      </x:c>
      <x:c r="K264" s="12" t="n">
        <x:v>1028.2666304547097</x:v>
      </x:c>
      <x:c r="L264" s="12" t="n">
        <x:v>709.5477338808075</x:v>
      </x:c>
      <x:c r="M264" s="12" t="n">
        <x:v>65</x:v>
      </x:c>
      <x:c r="N264" s="2" t="str">
        <x:v>2019-06</x:v>
      </x:c>
    </x:row>
    <x:row r="265" ht="22" customHeight="1">
      <x:c r="A265" s="8" t="d">
        <x:v>2019-07-31T00:00:00.000Z</x:v>
      </x:c>
      <x:c r="B265" s="8" t="d">
        <x:v>2019-07-01T00:00:00.000Z</x:v>
      </x:c>
      <x:c r="C265" s="2" t="str">
        <x:v>AGN</x:v>
      </x:c>
      <x:c r="D265" s="11" t="n">
        <x:f>259*'Summary'!$C$18</x:f>
        <x:v>259000</x:v>
      </x:c>
      <x:c r="E265" s="2" t="n">
        <x:v>505</x:v>
      </x:c>
      <x:c r="F265" s="2" t="n">
        <x:v>505</x:v>
      </x:c>
      <x:c r="G265" s="9" t="n">
        <x:f>F265/E265</x:f>
        <x:v>1</x:v>
      </x:c>
      <x:c r="H265" s="11" t="n">
        <x:f>K265*'Summary'!$C$18</x:f>
        <x:v>1050392.5691204066</x:v>
      </x:c>
      <x:c r="I265" s="11" t="n">
        <x:f>L265*'Summary'!$C$18</x:f>
        <x:v>721278.2183885345</x:v>
      </x:c>
      <x:c r="J265" s="11" t="n">
        <x:f>M265*'Summary'!$C$18</x:f>
        <x:v>68000</x:v>
      </x:c>
      <x:c r="K265" s="12" t="n">
        <x:v>1050.3925691204067</x:v>
      </x:c>
      <x:c r="L265" s="12" t="n">
        <x:v>721.2782183885345</x:v>
      </x:c>
      <x:c r="M265" s="12" t="n">
        <x:v>68</x:v>
      </x:c>
      <x:c r="N265" s="2" t="str">
        <x:v>2019-07</x:v>
      </x:c>
    </x:row>
    <x:row r="266" ht="22" customHeight="1">
      <x:c r="A266" s="8" t="d">
        <x:v>2019-08-30T00:00:00.000Z</x:v>
      </x:c>
      <x:c r="B266" s="8" t="d">
        <x:v>2019-08-01T00:00:00.000Z</x:v>
      </x:c>
      <x:c r="C266" s="2" t="str">
        <x:v>TWTR</x:v>
      </x:c>
      <x:c r="D266" s="11" t="n">
        <x:f>260*'Summary'!$C$18</x:f>
        <x:v>260000</x:v>
      </x:c>
      <x:c r="E266" s="2" t="n">
        <x:v>505</x:v>
      </x:c>
      <x:c r="F266" s="2" t="n">
        <x:v>505</x:v>
      </x:c>
      <x:c r="G266" s="9" t="n">
        <x:f>F266/E266</x:f>
        <x:v>1</x:v>
      </x:c>
      <x:c r="H266" s="11" t="n">
        <x:f>K266*'Summary'!$C$18</x:f>
        <x:v>1010898.140758219</x:v>
      </x:c>
      <x:c r="I266" s="11" t="n">
        <x:f>L266*'Summary'!$C$18</x:f>
        <x:v>710184.2850931971</x:v>
      </x:c>
      <x:c r="J266" s="11" t="n">
        <x:f>M266*'Summary'!$C$18</x:f>
        <x:v>70000</x:v>
      </x:c>
      <x:c r="K266" s="12" t="n">
        <x:v>1010.8981407582189</x:v>
      </x:c>
      <x:c r="L266" s="12" t="n">
        <x:v>710.1842850931971</x:v>
      </x:c>
      <x:c r="M266" s="12" t="n">
        <x:v>70</x:v>
      </x:c>
      <x:c r="N266" s="2" t="str">
        <x:v>2019-08</x:v>
      </x:c>
    </x:row>
    <x:row r="267" ht="22" customHeight="1">
      <x:c r="A267" s="8" t="d">
        <x:v>2019-09-30T00:00:00.000Z</x:v>
      </x:c>
      <x:c r="B267" s="8" t="d">
        <x:v>2019-09-03T00:00:00.000Z</x:v>
      </x:c>
      <x:c r="C267" s="2" t="str">
        <x:v>TGT</x:v>
      </x:c>
      <x:c r="D267" s="11" t="n">
        <x:f>261*'Summary'!$C$18</x:f>
        <x:v>261000</x:v>
      </x:c>
      <x:c r="E267" s="2" t="n">
        <x:v>505</x:v>
      </x:c>
      <x:c r="F267" s="2" t="n">
        <x:v>505</x:v>
      </x:c>
      <x:c r="G267" s="9" t="n">
        <x:f>F267/E267</x:f>
        <x:v>1</x:v>
      </x:c>
      <x:c r="H267" s="11" t="n">
        <x:f>K267*'Summary'!$C$18</x:f>
        <x:v>1045444.734245392</x:v>
      </x:c>
      <x:c r="I267" s="11" t="n">
        <x:f>L267*'Summary'!$C$18</x:f>
        <x:v>725029.0371967562</x:v>
      </x:c>
      <x:c r="J267" s="11" t="n">
        <x:f>M267*'Summary'!$C$18</x:f>
        <x:v>71000</x:v>
      </x:c>
      <x:c r="K267" s="12" t="n">
        <x:v>1045.444734245392</x:v>
      </x:c>
      <x:c r="L267" s="12" t="n">
        <x:v>725.0290371967562</x:v>
      </x:c>
      <x:c r="M267" s="12" t="n">
        <x:v>71</x:v>
      </x:c>
      <x:c r="N267" s="2" t="str">
        <x:v>2019-09</x:v>
      </x:c>
    </x:row>
    <x:row r="268" ht="22" customHeight="1">
      <x:c r="A268" s="8" t="d">
        <x:v>2019-10-31T00:00:00.000Z</x:v>
      </x:c>
      <x:c r="B268" s="8" t="d">
        <x:v>2019-10-01T00:00:00.000Z</x:v>
      </x:c>
      <x:c r="C268" s="2" t="str">
        <x:v>TPR</x:v>
      </x:c>
      <x:c r="D268" s="11" t="n">
        <x:f>262*'Summary'!$C$18</x:f>
        <x:v>262000</x:v>
      </x:c>
      <x:c r="E268" s="2" t="n">
        <x:v>505</x:v>
      </x:c>
      <x:c r="F268" s="2" t="n">
        <x:v>505</x:v>
      </x:c>
      <x:c r="G268" s="9" t="n">
        <x:f>F268/E268</x:f>
        <x:v>1</x:v>
      </x:c>
      <x:c r="H268" s="11" t="n">
        <x:f>K268*'Summary'!$C$18</x:f>
        <x:v>1115607.675740897</x:v>
      </x:c>
      <x:c r="I268" s="11" t="n">
        <x:f>L268*'Summary'!$C$18</x:f>
        <x:v>742074.3270678966</x:v>
      </x:c>
      <x:c r="J268" s="11" t="n">
        <x:f>M268*'Summary'!$C$18</x:f>
        <x:v>74000</x:v>
      </x:c>
      <x:c r="K268" s="12" t="n">
        <x:v>1115.6076757408969</x:v>
      </x:c>
      <x:c r="L268" s="12" t="n">
        <x:v>742.0743270678967</x:v>
      </x:c>
      <x:c r="M268" s="12" t="n">
        <x:v>74</x:v>
      </x:c>
      <x:c r="N268" s="2" t="str">
        <x:v>2019-10</x:v>
      </x:c>
    </x:row>
    <x:row r="269" ht="22" customHeight="1">
      <x:c r="A269" s="8" t="d">
        <x:v>2019-11-29T00:00:00.000Z</x:v>
      </x:c>
      <x:c r="B269" s="8" t="d">
        <x:v>2019-11-01T00:00:00.000Z</x:v>
      </x:c>
      <x:c r="C269" s="2" t="str">
        <x:v>ALGN</x:v>
      </x:c>
      <x:c r="D269" s="11" t="n">
        <x:f>263*'Summary'!$C$18</x:f>
        <x:v>263000</x:v>
      </x:c>
      <x:c r="E269" s="2" t="n">
        <x:v>505</x:v>
      </x:c>
      <x:c r="F269" s="2" t="n">
        <x:v>505</x:v>
      </x:c>
      <x:c r="G269" s="9" t="n">
        <x:f>F269/E269</x:f>
        <x:v>1</x:v>
      </x:c>
      <x:c r="H269" s="11" t="n">
        <x:f>K269*'Summary'!$C$18</x:f>
        <x:v>1185513.7355518134</x:v>
      </x:c>
      <x:c r="I269" s="11" t="n">
        <x:f>L269*'Summary'!$C$18</x:f>
        <x:v>769966.9049352781</x:v>
      </x:c>
      <x:c r="J269" s="11" t="n">
        <x:f>M269*'Summary'!$C$18</x:f>
        <x:v>74000</x:v>
      </x:c>
      <x:c r="K269" s="12" t="n">
        <x:v>1185.5137355518134</x:v>
      </x:c>
      <x:c r="L269" s="12" t="n">
        <x:v>769.9669049352781</x:v>
      </x:c>
      <x:c r="M269" s="12" t="n">
        <x:v>74</x:v>
      </x:c>
      <x:c r="N269" s="2" t="str">
        <x:v>2019-11</x:v>
      </x:c>
    </x:row>
    <x:row r="270" ht="22" customHeight="1">
      <x:c r="A270" s="8" t="d">
        <x:v>2019-12-31T00:00:00.000Z</x:v>
      </x:c>
      <x:c r="B270" s="8" t="d">
        <x:v>2019-12-02T00:00:00.000Z</x:v>
      </x:c>
      <x:c r="C270" s="2" t="str">
        <x:v>DXC</x:v>
      </x:c>
      <x:c r="D270" s="11" t="n">
        <x:f>264*'Summary'!$C$18</x:f>
        <x:v>264000</x:v>
      </x:c>
      <x:c r="E270" s="2" t="n">
        <x:v>505</x:v>
      </x:c>
      <x:c r="F270" s="2" t="n">
        <x:v>505</x:v>
      </x:c>
      <x:c r="G270" s="9" t="n">
        <x:f>F270/E270</x:f>
        <x:v>1</x:v>
      </x:c>
      <x:c r="H270" s="11" t="n">
        <x:f>K270*'Summary'!$C$18</x:f>
        <x:v>1267780.8470738854</x:v>
      </x:c>
      <x:c r="I270" s="11" t="n">
        <x:f>L270*'Summary'!$C$18</x:f>
        <x:v>793366.7994758551</x:v>
      </x:c>
      <x:c r="J270" s="11" t="n">
        <x:f>M270*'Summary'!$C$18</x:f>
        <x:v>74000</x:v>
      </x:c>
      <x:c r="K270" s="12" t="n">
        <x:v>1267.7808470738853</x:v>
      </x:c>
      <x:c r="L270" s="12" t="n">
        <x:v>793.366799475855</x:v>
      </x:c>
      <x:c r="M270" s="12" t="n">
        <x:v>74</x:v>
      </x:c>
      <x:c r="N270" s="2" t="str">
        <x:v>2019-12</x:v>
      </x:c>
    </x:row>
    <x:row r="271" ht="22" customHeight="1">
      <x:c r="A271" s="8" t="d">
        <x:v>2020-01-31T00:00:00.000Z</x:v>
      </x:c>
      <x:c r="B271" s="8" t="d">
        <x:v>2020-01-02T00:00:00.000Z</x:v>
      </x:c>
      <x:c r="C271" s="2" t="str">
        <x:v>WDC</x:v>
      </x:c>
      <x:c r="D271" s="11" t="n">
        <x:f>265*'Summary'!$C$18</x:f>
        <x:v>265000</x:v>
      </x:c>
      <x:c r="E271" s="2" t="n">
        <x:v>505</x:v>
      </x:c>
      <x:c r="F271" s="2" t="n">
        <x:v>505</x:v>
      </x:c>
      <x:c r="G271" s="9" t="n">
        <x:f>F271/E271</x:f>
        <x:v>1</x:v>
      </x:c>
      <x:c r="H271" s="11" t="n">
        <x:f>K271*'Summary'!$C$18</x:f>
        <x:v>1297570.8785298252</x:v>
      </x:c>
      <x:c r="I271" s="11" t="n">
        <x:f>L271*'Summary'!$C$18</x:f>
        <x:v>794040.8256035325</x:v>
      </x:c>
      <x:c r="J271" s="11" t="n">
        <x:f>M271*'Summary'!$C$18</x:f>
        <x:v>77000</x:v>
      </x:c>
      <x:c r="K271" s="12" t="n">
        <x:v>1297.5708785298252</x:v>
      </x:c>
      <x:c r="L271" s="12" t="n">
        <x:v>794.0408256035325</x:v>
      </x:c>
      <x:c r="M271" s="12" t="n">
        <x:v>77</x:v>
      </x:c>
      <x:c r="N271" s="2" t="str">
        <x:v>2020-01</x:v>
      </x:c>
    </x:row>
    <x:row r="272" ht="22" customHeight="1">
      <x:c r="A272" s="8" t="d">
        <x:v>2020-02-28T00:00:00.000Z</x:v>
      </x:c>
      <x:c r="B272" s="8" t="d">
        <x:v>2020-02-03T00:00:00.000Z</x:v>
      </x:c>
      <x:c r="C272" s="2" t="str">
        <x:v>BBWI</x:v>
      </x:c>
      <x:c r="D272" s="11" t="n">
        <x:f>266*'Summary'!$C$18</x:f>
        <x:v>266000</x:v>
      </x:c>
      <x:c r="E272" s="2" t="n">
        <x:v>505</x:v>
      </x:c>
      <x:c r="F272" s="2" t="n">
        <x:v>505</x:v>
      </x:c>
      <x:c r="G272" s="9" t="n">
        <x:f>F272/E272</x:f>
        <x:v>1</x:v>
      </x:c>
      <x:c r="H272" s="11" t="n">
        <x:f>K272*'Summary'!$C$18</x:f>
        <x:v>1202253.2325706964</x:v>
      </x:c>
      <x:c r="I272" s="11" t="n">
        <x:f>L272*'Summary'!$C$18</x:f>
        <x:v>732096.2000472837</x:v>
      </x:c>
      <x:c r="J272" s="11" t="n">
        <x:f>M272*'Summary'!$C$18</x:f>
        <x:v>77000</x:v>
      </x:c>
      <x:c r="K272" s="12" t="n">
        <x:v>1202.2532325706964</x:v>
      </x:c>
      <x:c r="L272" s="12" t="n">
        <x:v>732.0962000472837</x:v>
      </x:c>
      <x:c r="M272" s="12" t="n">
        <x:v>77</x:v>
      </x:c>
      <x:c r="N272" s="2" t="str">
        <x:v>2020-02</x:v>
      </x:c>
    </x:row>
    <x:row r="273" ht="22" customHeight="1">
      <x:c r="A273" s="8" t="d">
        <x:v>2020-03-31T00:00:00.000Z</x:v>
      </x:c>
      <x:c r="B273" s="8" t="d">
        <x:v>2020-03-02T00:00:00.000Z</x:v>
      </x:c>
      <x:c r="C273" s="2" t="str">
        <x:v>REGN</x:v>
      </x:c>
      <x:c r="D273" s="11" t="n">
        <x:f>267*'Summary'!$C$18</x:f>
        <x:v>267000</x:v>
      </x:c>
      <x:c r="E273" s="2" t="n">
        <x:v>505</x:v>
      </x:c>
      <x:c r="F273" s="2" t="n">
        <x:v>505</x:v>
      </x:c>
      <x:c r="G273" s="9" t="n">
        <x:f>F273/E273</x:f>
        <x:v>1</x:v>
      </x:c>
      <x:c r="H273" s="11" t="n">
        <x:f>K273*'Summary'!$C$18</x:f>
        <x:v>1090593.6720714893</x:v>
      </x:c>
      <x:c r="I273" s="11" t="n">
        <x:f>L273*'Summary'!$C$18</x:f>
        <x:v>641547.8185445025</x:v>
      </x:c>
      <x:c r="J273" s="11" t="n">
        <x:f>M273*'Summary'!$C$18</x:f>
        <x:v>77000</x:v>
      </x:c>
      <x:c r="K273" s="12" t="n">
        <x:v>1090.5936720714892</x:v>
      </x:c>
      <x:c r="L273" s="12" t="n">
        <x:v>641.5478185445024</x:v>
      </x:c>
      <x:c r="M273" s="12" t="n">
        <x:v>77</x:v>
      </x:c>
      <x:c r="N273" s="2" t="str">
        <x:v>2020-03</x:v>
      </x:c>
    </x:row>
    <x:row r="274" ht="22" customHeight="1">
      <x:c r="A274" s="8" t="d">
        <x:v>2020-04-30T00:00:00.000Z</x:v>
      </x:c>
      <x:c r="B274" s="8" t="d">
        <x:v>2020-04-01T00:00:00.000Z</x:v>
      </x:c>
      <x:c r="C274" s="2" t="str">
        <x:v>CTXS</x:v>
      </x:c>
      <x:c r="D274" s="11" t="n">
        <x:f>268*'Summary'!$C$18</x:f>
        <x:v>268000</x:v>
      </x:c>
      <x:c r="E274" s="2" t="n">
        <x:v>505</x:v>
      </x:c>
      <x:c r="F274" s="2" t="n">
        <x:v>505</x:v>
      </x:c>
      <x:c r="G274" s="9" t="n">
        <x:f>F274/E274</x:f>
        <x:v>1</x:v>
      </x:c>
      <x:c r="H274" s="11" t="n">
        <x:f>K274*'Summary'!$C$18</x:f>
        <x:v>1238639.5426466824</x:v>
      </x:c>
      <x:c r="I274" s="11" t="n">
        <x:f>L274*'Summary'!$C$18</x:f>
        <x:v>724185.2253151613</x:v>
      </x:c>
      <x:c r="J274" s="11" t="n">
        <x:f>M274*'Summary'!$C$18</x:f>
        <x:v>79000</x:v>
      </x:c>
      <x:c r="K274" s="12" t="n">
        <x:v>1238.6395426466825</x:v>
      </x:c>
      <x:c r="L274" s="12" t="n">
        <x:v>724.1852253151612</x:v>
      </x:c>
      <x:c r="M274" s="12" t="n">
        <x:v>79</x:v>
      </x:c>
      <x:c r="N274" s="2" t="str">
        <x:v>2020-04</x:v>
      </x:c>
    </x:row>
    <x:row r="275" ht="22" customHeight="1">
      <x:c r="A275" s="8" t="d">
        <x:v>2020-05-29T00:00:00.000Z</x:v>
      </x:c>
      <x:c r="B275" s="8" t="d">
        <x:v>2020-05-01T00:00:00.000Z</x:v>
      </x:c>
      <x:c r="C275" s="2" t="str">
        <x:v>APA</x:v>
      </x:c>
      <x:c r="D275" s="11" t="n">
        <x:f>269*'Summary'!$C$18</x:f>
        <x:v>269000</x:v>
      </x:c>
      <x:c r="E275" s="2" t="n">
        <x:v>505</x:v>
      </x:c>
      <x:c r="F275" s="2" t="n">
        <x:v>505</x:v>
      </x:c>
      <x:c r="G275" s="9" t="n">
        <x:f>F275/E275</x:f>
        <x:v>1</x:v>
      </x:c>
      <x:c r="H275" s="11" t="n">
        <x:f>K275*'Summary'!$C$18</x:f>
        <x:v>1328377.8862873523</x:v>
      </x:c>
      <x:c r="I275" s="11" t="n">
        <x:f>L275*'Summary'!$C$18</x:f>
        <x:v>759755.8496960402</x:v>
      </x:c>
      <x:c r="J275" s="11" t="n">
        <x:f>M275*'Summary'!$C$18</x:f>
        <x:v>80000</x:v>
      </x:c>
      <x:c r="K275" s="12" t="n">
        <x:v>1328.3778862873523</x:v>
      </x:c>
      <x:c r="L275" s="12" t="n">
        <x:v>759.7558496960402</x:v>
      </x:c>
      <x:c r="M275" s="12" t="n">
        <x:v>80</x:v>
      </x:c>
      <x:c r="N275" s="2" t="str">
        <x:v>2020-05</x:v>
      </x:c>
    </x:row>
    <x:row r="276" ht="22" customHeight="1">
      <x:c r="A276" s="8" t="d">
        <x:v>2020-06-30T00:00:00.000Z</x:v>
      </x:c>
      <x:c r="B276" s="8" t="d">
        <x:v>2020-06-01T00:00:00.000Z</x:v>
      </x:c>
      <x:c r="C276" s="2" t="str">
        <x:v>BBWI</x:v>
      </x:c>
      <x:c r="D276" s="11" t="n">
        <x:f>270*'Summary'!$C$18</x:f>
        <x:v>270000</x:v>
      </x:c>
      <x:c r="E276" s="2" t="n">
        <x:v>505</x:v>
      </x:c>
      <x:c r="F276" s="2" t="n">
        <x:v>505</x:v>
      </x:c>
      <x:c r="G276" s="9" t="n">
        <x:f>F276/E276</x:f>
        <x:v>1</x:v>
      </x:c>
      <x:c r="H276" s="11" t="n">
        <x:f>K276*'Summary'!$C$18</x:f>
        <x:v>1446097.1816671742</x:v>
      </x:c>
      <x:c r="I276" s="11" t="n">
        <x:f>L276*'Summary'!$C$18</x:f>
        <x:v>774249.7608041117</x:v>
      </x:c>
      <x:c r="J276" s="11" t="n">
        <x:f>M276*'Summary'!$C$18</x:f>
        <x:v>80000</x:v>
      </x:c>
      <x:c r="K276" s="12" t="n">
        <x:v>1446.0971816671743</x:v>
      </x:c>
      <x:c r="L276" s="12" t="n">
        <x:v>774.2497608041117</x:v>
      </x:c>
      <x:c r="M276" s="12" t="n">
        <x:v>80</x:v>
      </x:c>
      <x:c r="N276" s="2" t="str">
        <x:v>2020-06</x:v>
      </x:c>
    </x:row>
    <x:row r="277" ht="22" customHeight="1">
      <x:c r="A277" s="8" t="d">
        <x:v>2020-07-31T00:00:00.000Z</x:v>
      </x:c>
      <x:c r="B277" s="8" t="d">
        <x:v>2020-07-01T00:00:00.000Z</x:v>
      </x:c>
      <x:c r="C277" s="2" t="str">
        <x:v>GAP</x:v>
      </x:c>
      <x:c r="D277" s="11" t="n">
        <x:f>271*'Summary'!$C$18</x:f>
        <x:v>271000</x:v>
      </x:c>
      <x:c r="E277" s="2" t="n">
        <x:v>505</x:v>
      </x:c>
      <x:c r="F277" s="2" t="n">
        <x:v>505</x:v>
      </x:c>
      <x:c r="G277" s="9" t="n">
        <x:f>F277/E277</x:f>
        <x:v>1</x:v>
      </x:c>
      <x:c r="H277" s="11" t="n">
        <x:f>K277*'Summary'!$C$18</x:f>
        <x:v>1633565.2529433111</x:v>
      </x:c>
      <x:c r="I277" s="11" t="n">
        <x:f>L277*'Summary'!$C$18</x:f>
        <x:v>820901.8002662811</x:v>
      </x:c>
      <x:c r="J277" s="11" t="n">
        <x:f>M277*'Summary'!$C$18</x:f>
        <x:v>80000</x:v>
      </x:c>
      <x:c r="K277" s="12" t="n">
        <x:v>1633.5652529433112</x:v>
      </x:c>
      <x:c r="L277" s="12" t="n">
        <x:v>820.9018002662812</x:v>
      </x:c>
      <x:c r="M277" s="12" t="n">
        <x:v>80</x:v>
      </x:c>
      <x:c r="N277" s="2" t="str">
        <x:v>2020-07</x:v>
      </x:c>
    </x:row>
    <x:row r="278" ht="22" customHeight="1">
      <x:c r="A278" s="8" t="d">
        <x:v>2020-08-31T00:00:00.000Z</x:v>
      </x:c>
      <x:c r="B278" s="8" t="d">
        <x:v>2020-08-03T00:00:00.000Z</x:v>
      </x:c>
      <x:c r="C278" s="2" t="str">
        <x:v>BBWI</x:v>
      </x:c>
      <x:c r="D278" s="11" t="n">
        <x:f>272*'Summary'!$C$18</x:f>
        <x:v>272000</x:v>
      </x:c>
      <x:c r="E278" s="2" t="n">
        <x:v>505</x:v>
      </x:c>
      <x:c r="F278" s="2" t="n">
        <x:v>505</x:v>
      </x:c>
      <x:c r="G278" s="9" t="n">
        <x:f>F278/E278</x:f>
        <x:v>1</x:v>
      </x:c>
      <x:c r="H278" s="11" t="n">
        <x:f>K278*'Summary'!$C$18</x:f>
        <x:v>1899693.3034959026</x:v>
      </x:c>
      <x:c r="I278" s="11" t="n">
        <x:f>L278*'Summary'!$C$18</x:f>
        <x:v>879261.9453897846</x:v>
      </x:c>
      <x:c r="J278" s="11" t="n">
        <x:f>M278*'Summary'!$C$18</x:f>
        <x:v>80000</x:v>
      </x:c>
      <x:c r="K278" s="12" t="n">
        <x:v>1899.6933034959025</x:v>
      </x:c>
      <x:c r="L278" s="12" t="n">
        <x:v>879.2619453897846</x:v>
      </x:c>
      <x:c r="M278" s="12" t="n">
        <x:v>80</x:v>
      </x:c>
      <x:c r="N278" s="2" t="str">
        <x:v>2020-08</x:v>
      </x:c>
    </x:row>
    <x:row r="279" ht="22" customHeight="1">
      <x:c r="A279" s="8" t="d">
        <x:v>2020-09-30T00:00:00.000Z</x:v>
      </x:c>
      <x:c r="B279" s="8" t="d">
        <x:v>2020-09-01T00:00:00.000Z</x:v>
      </x:c>
      <x:c r="C279" s="2" t="str">
        <x:v>RCL</x:v>
      </x:c>
      <x:c r="D279" s="11" t="n">
        <x:f>273*'Summary'!$C$18</x:f>
        <x:v>273000</x:v>
      </x:c>
      <x:c r="E279" s="2" t="n">
        <x:v>505</x:v>
      </x:c>
      <x:c r="F279" s="2" t="n">
        <x:v>505</x:v>
      </x:c>
      <x:c r="G279" s="9" t="n">
        <x:f>F279/E279</x:f>
        <x:v>1</x:v>
      </x:c>
      <x:c r="H279" s="11" t="n">
        <x:f>K279*'Summary'!$C$18</x:f>
        <x:v>1773542.2317696312</x:v>
      </x:c>
      <x:c r="I279" s="11" t="n">
        <x:f>L279*'Summary'!$C$18</x:f>
        <x:v>847299.2908936464</x:v>
      </x:c>
      <x:c r="J279" s="11" t="n">
        <x:f>M279*'Summary'!$C$18</x:f>
        <x:v>80000</x:v>
      </x:c>
      <x:c r="K279" s="12" t="n">
        <x:v>1773.5422317696311</x:v>
      </x:c>
      <x:c r="L279" s="12" t="n">
        <x:v>847.2992908936465</x:v>
      </x:c>
      <x:c r="M279" s="12" t="n">
        <x:v>80</x:v>
      </x:c>
      <x:c r="N279" s="2" t="str">
        <x:v>2020-09</x:v>
      </x:c>
    </x:row>
    <x:row r="280" ht="22" customHeight="1">
      <x:c r="A280" s="8" t="d">
        <x:v>2020-10-30T00:00:00.000Z</x:v>
      </x:c>
      <x:c r="B280" s="8" t="d">
        <x:v>2020-10-01T00:00:00.000Z</x:v>
      </x:c>
      <x:c r="C280" s="2" t="str">
        <x:v>DRI</x:v>
      </x:c>
      <x:c r="D280" s="11" t="n">
        <x:f>274*'Summary'!$C$18</x:f>
        <x:v>274000</x:v>
      </x:c>
      <x:c r="E280" s="2" t="n">
        <x:v>505</x:v>
      </x:c>
      <x:c r="F280" s="2" t="n">
        <x:v>505</x:v>
      </x:c>
      <x:c r="G280" s="9" t="n">
        <x:f>F280/E280</x:f>
        <x:v>1</x:v>
      </x:c>
      <x:c r="H280" s="11" t="n">
        <x:f>K280*'Summary'!$C$18</x:f>
        <x:v>1695245.0818191506</x:v>
      </x:c>
      <x:c r="I280" s="11" t="n">
        <x:f>L280*'Summary'!$C$18</x:f>
        <x:v>827140.0700061322</x:v>
      </x:c>
      <x:c r="J280" s="11" t="n">
        <x:f>M280*'Summary'!$C$18</x:f>
        <x:v>80000</x:v>
      </x:c>
      <x:c r="K280" s="12" t="n">
        <x:v>1695.2450818191505</x:v>
      </x:c>
      <x:c r="L280" s="12" t="n">
        <x:v>827.1400700061322</x:v>
      </x:c>
      <x:c r="M280" s="12" t="n">
        <x:v>80</x:v>
      </x:c>
      <x:c r="N280" s="2" t="str">
        <x:v>2020-10</x:v>
      </x:c>
    </x:row>
    <x:row r="281" ht="22" customHeight="1">
      <x:c r="A281" s="8" t="d">
        <x:v>2020-11-30T00:00:00.000Z</x:v>
      </x:c>
      <x:c r="B281" s="8" t="d">
        <x:v>2020-11-02T00:00:00.000Z</x:v>
      </x:c>
      <x:c r="C281" s="2" t="str">
        <x:v>TPR</x:v>
      </x:c>
      <x:c r="D281" s="11" t="n">
        <x:f>275*'Summary'!$C$18</x:f>
        <x:v>275000</x:v>
      </x:c>
      <x:c r="E281" s="2" t="n">
        <x:v>505</x:v>
      </x:c>
      <x:c r="F281" s="2" t="n">
        <x:v>505</x:v>
      </x:c>
      <x:c r="G281" s="9" t="n">
        <x:f>F281/E281</x:f>
        <x:v>1</x:v>
      </x:c>
      <x:c r="H281" s="11" t="n">
        <x:f>K281*'Summary'!$C$18</x:f>
        <x:v>1861750.929677737</x:v>
      </x:c>
      <x:c r="I281" s="11" t="n">
        <x:f>L281*'Summary'!$C$18</x:f>
        <x:v>918210.2368242344</x:v>
      </x:c>
      <x:c r="J281" s="11" t="n">
        <x:f>M281*'Summary'!$C$18</x:f>
        <x:v>80000</x:v>
      </x:c>
      <x:c r="K281" s="12" t="n">
        <x:v>1861.7509296777368</x:v>
      </x:c>
      <x:c r="L281" s="12" t="n">
        <x:v>918.2102368242344</x:v>
      </x:c>
      <x:c r="M281" s="12" t="n">
        <x:v>80</x:v>
      </x:c>
      <x:c r="N281" s="2" t="str">
        <x:v>2020-11</x:v>
      </x:c>
    </x:row>
    <x:row r="282" ht="22" customHeight="1">
      <x:c r="A282" s="8" t="d">
        <x:v>2020-12-31T00:00:00.000Z</x:v>
      </x:c>
      <x:c r="B282" s="8" t="d">
        <x:v>2020-12-01T00:00:00.000Z</x:v>
      </x:c>
      <x:c r="C282" s="2" t="str">
        <x:v>OXY</x:v>
      </x:c>
      <x:c r="D282" s="11" t="n">
        <x:f>276*'Summary'!$C$18</x:f>
        <x:v>276000</x:v>
      </x:c>
      <x:c r="E282" s="2" t="n">
        <x:v>505</x:v>
      </x:c>
      <x:c r="F282" s="2" t="n">
        <x:v>505</x:v>
      </x:c>
      <x:c r="G282" s="9" t="n">
        <x:f>F282/E282</x:f>
        <x:v>1</x:v>
      </x:c>
      <x:c r="H282" s="11" t="n">
        <x:f>K282*'Summary'!$C$18</x:f>
        <x:v>2010840.991294213</x:v>
      </x:c>
      <x:c r="I282" s="11" t="n">
        <x:f>L282*'Summary'!$C$18</x:f>
        <x:v>953255.521667437</x:v>
      </x:c>
      <x:c r="J282" s="11" t="n">
        <x:f>M282*'Summary'!$C$18</x:f>
        <x:v>80000</x:v>
      </x:c>
      <x:c r="K282" s="12" t="n">
        <x:v>2010.8409912942132</x:v>
      </x:c>
      <x:c r="L282" s="12" t="n">
        <x:v>953.255521667437</x:v>
      </x:c>
      <x:c r="M282" s="12" t="n">
        <x:v>80</x:v>
      </x:c>
      <x:c r="N282" s="2" t="str">
        <x:v>2020-12</x:v>
      </x:c>
    </x:row>
    <x:row r="283" ht="22" customHeight="1">
      <x:c r="A283" s="8" t="d">
        <x:v>2021-01-29T00:00:00.000Z</x:v>
      </x:c>
      <x:c r="B283" s="8" t="d">
        <x:v>2021-01-04T00:00:00.000Z</x:v>
      </x:c>
      <x:c r="C283" s="2" t="str">
        <x:v>NLSN</x:v>
      </x:c>
      <x:c r="D283" s="11" t="n">
        <x:f>277*'Summary'!$C$18</x:f>
        <x:v>277000</x:v>
      </x:c>
      <x:c r="E283" s="2" t="n">
        <x:v>505</x:v>
      </x:c>
      <x:c r="F283" s="2" t="n">
        <x:v>505</x:v>
      </x:c>
      <x:c r="G283" s="9" t="n">
        <x:f>F283/E283</x:f>
        <x:v>1</x:v>
      </x:c>
      <x:c r="H283" s="11" t="n">
        <x:f>K283*'Summary'!$C$18</x:f>
        <x:v>2017270.3766664523</x:v>
      </x:c>
      <x:c r="I283" s="11" t="n">
        <x:f>L283*'Summary'!$C$18</x:f>
        <x:v>944527.4774074497</x:v>
      </x:c>
      <x:c r="J283" s="11" t="n">
        <x:f>M283*'Summary'!$C$18</x:f>
        <x:v>80000</x:v>
      </x:c>
      <x:c r="K283" s="12" t="n">
        <x:v>2017.2703766664522</x:v>
      </x:c>
      <x:c r="L283" s="12" t="n">
        <x:v>944.5274774074497</x:v>
      </x:c>
      <x:c r="M283" s="12" t="n">
        <x:v>80</x:v>
      </x:c>
      <x:c r="N283" s="2" t="str">
        <x:v>2021-01</x:v>
      </x:c>
    </x:row>
    <x:row r="284" ht="22" customHeight="1">
      <x:c r="A284" s="8" t="d">
        <x:v>2021-02-26T00:00:00.000Z</x:v>
      </x:c>
      <x:c r="B284" s="8" t="d">
        <x:v>2021-02-01T00:00:00.000Z</x:v>
      </x:c>
      <x:c r="C284" s="2" t="str">
        <x:v>WBD</x:v>
      </x:c>
      <x:c r="D284" s="11" t="n">
        <x:f>278*'Summary'!$C$18</x:f>
        <x:v>278000</x:v>
      </x:c>
      <x:c r="E284" s="2" t="n">
        <x:v>505</x:v>
      </x:c>
      <x:c r="F284" s="2" t="n">
        <x:v>505</x:v>
      </x:c>
      <x:c r="G284" s="9" t="n">
        <x:f>F284/E284</x:f>
        <x:v>1</x:v>
      </x:c>
      <x:c r="H284" s="11" t="n">
        <x:f>K284*'Summary'!$C$18</x:f>
        <x:v>1971984.0151288288</x:v>
      </x:c>
      <x:c r="I284" s="11" t="n">
        <x:f>L284*'Summary'!$C$18</x:f>
        <x:v>971808.2943615116</x:v>
      </x:c>
      <x:c r="J284" s="11" t="n">
        <x:f>M284*'Summary'!$C$18</x:f>
        <x:v>80000</x:v>
      </x:c>
      <x:c r="K284" s="12" t="n">
        <x:v>1971.9840151288288</x:v>
      </x:c>
      <x:c r="L284" s="12" t="n">
        <x:v>971.8082943615116</x:v>
      </x:c>
      <x:c r="M284" s="12" t="n">
        <x:v>80</x:v>
      </x:c>
      <x:c r="N284" s="2" t="str">
        <x:v>2021-02</x:v>
      </x:c>
    </x:row>
    <x:row r="285" ht="22" customHeight="1">
      <x:c r="A285" s="8" t="d">
        <x:v>2021-03-31T00:00:00.000Z</x:v>
      </x:c>
      <x:c r="B285" s="8" t="d">
        <x:v>2021-03-01T00:00:00.000Z</x:v>
      </x:c>
      <x:c r="C285" s="2" t="str">
        <x:v>MRO</x:v>
      </x:c>
      <x:c r="D285" s="11" t="n">
        <x:f>279*'Summary'!$C$18</x:f>
        <x:v>279000</x:v>
      </x:c>
      <x:c r="E285" s="2" t="n">
        <x:v>505</x:v>
      </x:c>
      <x:c r="F285" s="2" t="n">
        <x:v>505</x:v>
      </x:c>
      <x:c r="G285" s="9" t="n">
        <x:f>F285/E285</x:f>
        <x:v>1</x:v>
      </x:c>
      <x:c r="H285" s="11" t="n">
        <x:f>K285*'Summary'!$C$18</x:f>
        <x:v>2010469.6914098458</x:v>
      </x:c>
      <x:c r="I285" s="11" t="n">
        <x:f>L285*'Summary'!$C$18</x:f>
        <x:v>1016958.9168264755</x:v>
      </x:c>
      <x:c r="J285" s="11" t="n">
        <x:f>M285*'Summary'!$C$18</x:f>
        <x:v>80000</x:v>
      </x:c>
      <x:c r="K285" s="12" t="n">
        <x:v>2010.4696914098458</x:v>
      </x:c>
      <x:c r="L285" s="12" t="n">
        <x:v>1016.9589168264755</x:v>
      </x:c>
      <x:c r="M285" s="12" t="n">
        <x:v>80</x:v>
      </x:c>
      <x:c r="N285" s="2" t="str">
        <x:v>2021-03</x:v>
      </x:c>
    </x:row>
    <x:row r="286" ht="22" customHeight="1">
      <x:c r="A286" s="8" t="d">
        <x:v>2021-04-30T00:00:00.000Z</x:v>
      </x:c>
      <x:c r="B286" s="8" t="d">
        <x:v>2021-04-01T00:00:00.000Z</x:v>
      </x:c>
      <x:c r="C286" s="2" t="str">
        <x:v>NUE</x:v>
      </x:c>
      <x:c r="D286" s="11" t="n">
        <x:f>280*'Summary'!$C$18</x:f>
        <x:v>280000</x:v>
      </x:c>
      <x:c r="E286" s="2" t="n">
        <x:v>505</x:v>
      </x:c>
      <x:c r="F286" s="2" t="n">
        <x:v>505</x:v>
      </x:c>
      <x:c r="G286" s="9" t="n">
        <x:f>F286/E286</x:f>
        <x:v>1</x:v>
      </x:c>
      <x:c r="H286" s="11" t="n">
        <x:f>K286*'Summary'!$C$18</x:f>
        <x:v>2140361.6863181065</x:v>
      </x:c>
      <x:c r="I286" s="11" t="n">
        <x:f>L286*'Summary'!$C$18</x:f>
        <x:v>1071814.118915639</x:v>
      </x:c>
      <x:c r="J286" s="11" t="n">
        <x:f>M286*'Summary'!$C$18</x:f>
        <x:v>80000</x:v>
      </x:c>
      <x:c r="K286" s="12" t="n">
        <x:v>2140.3616863181064</x:v>
      </x:c>
      <x:c r="L286" s="12" t="n">
        <x:v>1071.8141189156388</x:v>
      </x:c>
      <x:c r="M286" s="12" t="n">
        <x:v>80</x:v>
      </x:c>
      <x:c r="N286" s="2" t="str">
        <x:v>2021-04</x:v>
      </x:c>
    </x:row>
    <x:row r="287" ht="22" customHeight="1">
      <x:c r="A287" s="8" t="d">
        <x:v>2021-05-28T00:00:00.000Z</x:v>
      </x:c>
      <x:c r="B287" s="8" t="d">
        <x:v>2021-05-03T00:00:00.000Z</x:v>
      </x:c>
      <x:c r="C287" s="2" t="str">
        <x:v>EFX</x:v>
      </x:c>
      <x:c r="D287" s="11" t="n">
        <x:f>281*'Summary'!$C$18</x:f>
        <x:v>281000</x:v>
      </x:c>
      <x:c r="E287" s="2" t="n">
        <x:v>505</x:v>
      </x:c>
      <x:c r="F287" s="2" t="n">
        <x:v>505</x:v>
      </x:c>
      <x:c r="G287" s="9" t="n">
        <x:f>F287/E287</x:f>
        <x:v>1</x:v>
      </x:c>
      <x:c r="H287" s="11" t="n">
        <x:f>K287*'Summary'!$C$18</x:f>
        <x:v>2116820.189576494</x:v>
      </x:c>
      <x:c r="I287" s="11" t="n">
        <x:f>L287*'Summary'!$C$18</x:f>
        <x:v>1079853.1793818648</x:v>
      </x:c>
      <x:c r="J287" s="11" t="n">
        <x:f>M287*'Summary'!$C$18</x:f>
        <x:v>80000</x:v>
      </x:c>
      <x:c r="K287" s="12" t="n">
        <x:v>2116.820189576494</x:v>
      </x:c>
      <x:c r="L287" s="12" t="n">
        <x:v>1079.853179381865</x:v>
      </x:c>
      <x:c r="M287" s="12" t="n">
        <x:v>80</x:v>
      </x:c>
      <x:c r="N287" s="2" t="str">
        <x:v>2021-05</x:v>
      </x:c>
    </x:row>
    <x:row r="288" ht="22" customHeight="1">
      <x:c r="A288" s="8" t="d">
        <x:v>2021-06-30T00:00:00.000Z</x:v>
      </x:c>
      <x:c r="B288" s="8" t="d">
        <x:v>2021-06-01T00:00:00.000Z</x:v>
      </x:c>
      <x:c r="C288" s="2" t="str">
        <x:v>GEN</x:v>
      </x:c>
      <x:c r="D288" s="11" t="n">
        <x:f>282*'Summary'!$C$18</x:f>
        <x:v>282000</x:v>
      </x:c>
      <x:c r="E288" s="2" t="n">
        <x:v>505</x:v>
      </x:c>
      <x:c r="F288" s="2" t="n">
        <x:v>505</x:v>
      </x:c>
      <x:c r="G288" s="9" t="n">
        <x:f>F288/E288</x:f>
        <x:v>1</x:v>
      </x:c>
      <x:c r="H288" s="11" t="n">
        <x:f>K288*'Summary'!$C$18</x:f>
        <x:v>2294866.4327804754</x:v>
      </x:c>
      <x:c r="I288" s="11" t="n">
        <x:f>L288*'Summary'!$C$18</x:f>
        <x:v>1105087.808222311</x:v>
      </x:c>
      <x:c r="J288" s="11" t="n">
        <x:f>M288*'Summary'!$C$18</x:f>
        <x:v>80000</x:v>
      </x:c>
      <x:c r="K288" s="12" t="n">
        <x:v>2294.8664327804754</x:v>
      </x:c>
      <x:c r="L288" s="12" t="n">
        <x:v>1105.0878082223112</x:v>
      </x:c>
      <x:c r="M288" s="12" t="n">
        <x:v>80</x:v>
      </x:c>
      <x:c r="N288" s="2" t="str">
        <x:v>2021-06</x:v>
      </x:c>
    </x:row>
    <x:row r="289" ht="22" customHeight="1">
      <x:c r="A289" s="8" t="d">
        <x:v>2021-07-30T00:00:00.000Z</x:v>
      </x:c>
      <x:c r="B289" s="8" t="d">
        <x:v>2021-07-01T00:00:00.000Z</x:v>
      </x:c>
      <x:c r="C289" s="2" t="str">
        <x:v>BIIB</x:v>
      </x:c>
      <x:c r="D289" s="11" t="n">
        <x:f>283*'Summary'!$C$18</x:f>
        <x:v>283000</x:v>
      </x:c>
      <x:c r="E289" s="2" t="n">
        <x:v>505</x:v>
      </x:c>
      <x:c r="F289" s="2" t="n">
        <x:v>505</x:v>
      </x:c>
      <x:c r="G289" s="9" t="n">
        <x:f>F289/E289</x:f>
        <x:v>1</x:v>
      </x:c>
      <x:c r="H289" s="11" t="n">
        <x:f>K289*'Summary'!$C$18</x:f>
        <x:v>2348244.167260252</x:v>
      </x:c>
      <x:c r="I289" s="11" t="n">
        <x:f>L289*'Summary'!$C$18</x:f>
        <x:v>1133088.2356358394</x:v>
      </x:c>
      <x:c r="J289" s="11" t="n">
        <x:f>M289*'Summary'!$C$18</x:f>
        <x:v>80000</x:v>
      </x:c>
      <x:c r="K289" s="12" t="n">
        <x:v>2348.2441672602517</x:v>
      </x:c>
      <x:c r="L289" s="12" t="n">
        <x:v>1133.0882356358395</x:v>
      </x:c>
      <x:c r="M289" s="12" t="n">
        <x:v>80</x:v>
      </x:c>
      <x:c r="N289" s="2" t="str">
        <x:v>2021-07</x:v>
      </x:c>
    </x:row>
    <x:row r="290" ht="22" customHeight="1">
      <x:c r="A290" s="8" t="d">
        <x:v>2021-08-31T00:00:00.000Z</x:v>
      </x:c>
      <x:c r="B290" s="8" t="d">
        <x:v>2021-08-02T00:00:00.000Z</x:v>
      </x:c>
      <x:c r="C290" s="2" t="str">
        <x:v>MRNA</x:v>
      </x:c>
      <x:c r="D290" s="11" t="n">
        <x:f>284*'Summary'!$C$18</x:f>
        <x:v>284000</x:v>
      </x:c>
      <x:c r="E290" s="2" t="n">
        <x:v>505</x:v>
      </x:c>
      <x:c r="F290" s="2" t="n">
        <x:v>505</x:v>
      </x:c>
      <x:c r="G290" s="9" t="n">
        <x:f>F290/E290</x:f>
        <x:v>1</x:v>
      </x:c>
      <x:c r="H290" s="11" t="n">
        <x:f>K290*'Summary'!$C$18</x:f>
        <x:v>2463916.901070959</x:v>
      </x:c>
      <x:c r="I290" s="11" t="n">
        <x:f>L290*'Summary'!$C$18</x:f>
        <x:v>1167834.2407133048</x:v>
      </x:c>
      <x:c r="J290" s="11" t="n">
        <x:f>M290*'Summary'!$C$18</x:f>
        <x:v>80000</x:v>
      </x:c>
      <x:c r="K290" s="12" t="n">
        <x:v>2463.916901070959</x:v>
      </x:c>
      <x:c r="L290" s="12" t="n">
        <x:v>1167.8342407133048</x:v>
      </x:c>
      <x:c r="M290" s="12" t="n">
        <x:v>80</x:v>
      </x:c>
      <x:c r="N290" s="2" t="str">
        <x:v>2021-08</x:v>
      </x:c>
    </x:row>
    <x:row r="291" ht="22" customHeight="1">
      <x:c r="A291" s="8" t="d">
        <x:v>2021-09-30T00:00:00.000Z</x:v>
      </x:c>
      <x:c r="B291" s="8" t="d">
        <x:v>2021-09-01T00:00:00.000Z</x:v>
      </x:c>
      <x:c r="C291" s="2" t="str">
        <x:v>PAYC</x:v>
      </x:c>
      <x:c r="D291" s="11" t="n">
        <x:f>285*'Summary'!$C$18</x:f>
        <x:v>285000</x:v>
      </x:c>
      <x:c r="E291" s="2" t="n">
        <x:v>505</x:v>
      </x:c>
      <x:c r="F291" s="2" t="n">
        <x:v>505</x:v>
      </x:c>
      <x:c r="G291" s="9" t="n">
        <x:f>F291/E291</x:f>
        <x:v>1</x:v>
      </x:c>
      <x:c r="H291" s="11" t="n">
        <x:f>K291*'Summary'!$C$18</x:f>
        <x:v>2330213.54081346</x:v>
      </x:c>
      <x:c r="I291" s="11" t="n">
        <x:f>L291*'Summary'!$C$18</x:f>
        <x:v>1114358.0547262647</x:v>
      </x:c>
      <x:c r="J291" s="11" t="n">
        <x:f>M291*'Summary'!$C$18</x:f>
        <x:v>80000</x:v>
      </x:c>
      <x:c r="K291" s="12" t="n">
        <x:v>2330.21354081346</x:v>
      </x:c>
      <x:c r="L291" s="12" t="n">
        <x:v>1114.3580547262648</x:v>
      </x:c>
      <x:c r="M291" s="12" t="n">
        <x:v>80</x:v>
      </x:c>
      <x:c r="N291" s="2" t="str">
        <x:v>2021-09</x:v>
      </x:c>
    </x:row>
    <x:row r="292" ht="22" customHeight="1">
      <x:c r="A292" s="8" t="d">
        <x:v>2021-10-29T00:00:00.000Z</x:v>
      </x:c>
      <x:c r="B292" s="8" t="d">
        <x:v>2021-10-01T00:00:00.000Z</x:v>
      </x:c>
      <x:c r="C292" s="2" t="str">
        <x:v>CTRA</x:v>
      </x:c>
      <x:c r="D292" s="11" t="n">
        <x:f>286*'Summary'!$C$18</x:f>
        <x:v>286000</x:v>
      </x:c>
      <x:c r="E292" s="2" t="n">
        <x:v>505</x:v>
      </x:c>
      <x:c r="F292" s="2" t="n">
        <x:v>505</x:v>
      </x:c>
      <x:c r="G292" s="9" t="n">
        <x:f>F292/E292</x:f>
        <x:v>1</x:v>
      </x:c>
      <x:c r="H292" s="11" t="n">
        <x:f>K292*'Summary'!$C$18</x:f>
        <x:v>2544351.972230698</x:v>
      </x:c>
      <x:c r="I292" s="11" t="n">
        <x:f>L292*'Summary'!$C$18</x:f>
        <x:v>1193610.9625247368</x:v>
      </x:c>
      <x:c r="J292" s="11" t="n">
        <x:f>M292*'Summary'!$C$18</x:f>
        <x:v>80000</x:v>
      </x:c>
      <x:c r="K292" s="12" t="n">
        <x:v>2544.351972230698</x:v>
      </x:c>
      <x:c r="L292" s="12" t="n">
        <x:v>1193.6109625247368</x:v>
      </x:c>
      <x:c r="M292" s="12" t="n">
        <x:v>80</x:v>
      </x:c>
      <x:c r="N292" s="2" t="str">
        <x:v>2021-10</x:v>
      </x:c>
    </x:row>
    <x:row r="293" ht="22" customHeight="1">
      <x:c r="A293" s="8" t="d">
        <x:v>2021-11-30T00:00:00.000Z</x:v>
      </x:c>
      <x:c r="B293" s="8" t="d">
        <x:v>2021-11-01T00:00:00.000Z</x:v>
      </x:c>
      <x:c r="C293" s="2" t="str">
        <x:v>ENPH</x:v>
      </x:c>
      <x:c r="D293" s="11" t="n">
        <x:f>287*'Summary'!$C$18</x:f>
        <x:v>287000</x:v>
      </x:c>
      <x:c r="E293" s="2" t="n">
        <x:v>505</x:v>
      </x:c>
      <x:c r="F293" s="2" t="n">
        <x:v>505</x:v>
      </x:c>
      <x:c r="G293" s="9" t="n">
        <x:f>F293/E293</x:f>
        <x:v>1</x:v>
      </x:c>
      <x:c r="H293" s="11" t="n">
        <x:f>K293*'Summary'!$C$18</x:f>
        <x:v>2787144.228442601</x:v>
      </x:c>
      <x:c r="I293" s="11" t="n">
        <x:f>L293*'Summary'!$C$18</x:f>
        <x:v>1185010.1861648788</x:v>
      </x:c>
      <x:c r="J293" s="11" t="n">
        <x:f>M293*'Summary'!$C$18</x:f>
        <x:v>80000</x:v>
      </x:c>
      <x:c r="K293" s="12" t="n">
        <x:v>2787.1442284426007</x:v>
      </x:c>
      <x:c r="L293" s="12" t="n">
        <x:v>1185.0101861648789</x:v>
      </x:c>
      <x:c r="M293" s="12" t="n">
        <x:v>80</x:v>
      </x:c>
      <x:c r="N293" s="2" t="str">
        <x:v>2021-11</x:v>
      </x:c>
    </x:row>
    <x:row r="294" ht="22" customHeight="1">
      <x:c r="A294" s="8" t="d">
        <x:v>2021-12-31T00:00:00.000Z</x:v>
      </x:c>
      <x:c r="B294" s="8" t="d">
        <x:v>2021-12-01T00:00:00.000Z</x:v>
      </x:c>
      <x:c r="C294" s="2" t="str">
        <x:v>QCOM</x:v>
      </x:c>
      <x:c r="D294" s="11" t="n">
        <x:f>288*'Summary'!$C$18</x:f>
        <x:v>288000</x:v>
      </x:c>
      <x:c r="E294" s="2" t="n">
        <x:v>505</x:v>
      </x:c>
      <x:c r="F294" s="2" t="n">
        <x:v>505</x:v>
      </x:c>
      <x:c r="G294" s="9" t="n">
        <x:f>F294/E294</x:f>
        <x:v>1</x:v>
      </x:c>
      <x:c r="H294" s="11" t="n">
        <x:f>K294*'Summary'!$C$18</x:f>
        <x:v>2854206.942533895</x:v>
      </x:c>
      <x:c r="I294" s="11" t="n">
        <x:f>L294*'Summary'!$C$18</x:f>
        <x:v>1240846.718129767</x:v>
      </x:c>
      <x:c r="J294" s="11" t="n">
        <x:f>M294*'Summary'!$C$18</x:f>
        <x:v>80000</x:v>
      </x:c>
      <x:c r="K294" s="12" t="n">
        <x:v>2854.206942533895</x:v>
      </x:c>
      <x:c r="L294" s="12" t="n">
        <x:v>1240.8467181297672</x:v>
      </x:c>
      <x:c r="M294" s="12" t="n">
        <x:v>80</x:v>
      </x:c>
      <x:c r="N294" s="2" t="str">
        <x:v>2021-12</x:v>
      </x:c>
    </x:row>
    <x:row r="295" ht="22" customHeight="1">
      <x:c r="A295" s="8" t="d">
        <x:v>2022-01-31T00:00:00.000Z</x:v>
      </x:c>
      <x:c r="B295" s="8" t="d">
        <x:v>2022-01-03T00:00:00.000Z</x:v>
      </x:c>
      <x:c r="C295" s="2" t="str">
        <x:v>CERN</x:v>
      </x:c>
      <x:c r="D295" s="11" t="n">
        <x:f>289*'Summary'!$C$18</x:f>
        <x:v>289000</x:v>
      </x:c>
      <x:c r="E295" s="2" t="n">
        <x:v>505</x:v>
      </x:c>
      <x:c r="F295" s="2" t="n">
        <x:v>505</x:v>
      </x:c>
      <x:c r="G295" s="9" t="n">
        <x:f>F295/E295</x:f>
        <x:v>1</x:v>
      </x:c>
      <x:c r="H295" s="11" t="n">
        <x:f>K295*'Summary'!$C$18</x:f>
        <x:v>2661558.083829251</x:v>
      </x:c>
      <x:c r="I295" s="11" t="n">
        <x:f>L295*'Summary'!$C$18</x:f>
        <x:v>1176347.4941082094</x:v>
      </x:c>
      <x:c r="J295" s="11" t="n">
        <x:f>M295*'Summary'!$C$18</x:f>
        <x:v>80000</x:v>
      </x:c>
      <x:c r="K295" s="12" t="n">
        <x:v>2661.5580838292512</x:v>
      </x:c>
      <x:c r="L295" s="12" t="n">
        <x:v>1176.3474941082093</x:v>
      </x:c>
      <x:c r="M295" s="12" t="n">
        <x:v>80</x:v>
      </x:c>
      <x:c r="N295" s="2" t="str">
        <x:v>2022-01</x:v>
      </x:c>
    </x:row>
    <x:row r="296" ht="22" customHeight="1">
      <x:c r="A296" s="8" t="d">
        <x:v>2022-02-28T00:00:00.000Z</x:v>
      </x:c>
      <x:c r="B296" s="8" t="d">
        <x:v>2022-02-01T00:00:00.000Z</x:v>
      </x:c>
      <x:c r="C296" s="2" t="str">
        <x:v>HAL</x:v>
      </x:c>
      <x:c r="D296" s="11" t="n">
        <x:f>290*'Summary'!$C$18</x:f>
        <x:v>290000</x:v>
      </x:c>
      <x:c r="E296" s="2" t="n">
        <x:v>505</x:v>
      </x:c>
      <x:c r="F296" s="2" t="n">
        <x:v>505</x:v>
      </x:c>
      <x:c r="G296" s="9" t="n">
        <x:f>F296/E296</x:f>
        <x:v>1</x:v>
      </x:c>
      <x:c r="H296" s="11" t="n">
        <x:f>K296*'Summary'!$C$18</x:f>
        <x:v>2604728.150302478</x:v>
      </x:c>
      <x:c r="I296" s="11" t="n">
        <x:f>L296*'Summary'!$C$18</x:f>
        <x:v>1142594.0564378232</x:v>
      </x:c>
      <x:c r="J296" s="11" t="n">
        <x:f>M296*'Summary'!$C$18</x:f>
        <x:v>80000</x:v>
      </x:c>
      <x:c r="K296" s="12" t="n">
        <x:v>2604.7281503024783</x:v>
      </x:c>
      <x:c r="L296" s="12" t="n">
        <x:v>1142.5940564378232</x:v>
      </x:c>
      <x:c r="M296" s="12" t="n">
        <x:v>80</x:v>
      </x:c>
      <x:c r="N296" s="2" t="str">
        <x:v>2022-02</x:v>
      </x:c>
    </x:row>
    <x:row r="297" ht="22" customHeight="1">
      <x:c r="A297" s="8" t="d">
        <x:v>2022-03-31T00:00:00.000Z</x:v>
      </x:c>
      <x:c r="B297" s="8" t="d">
        <x:v>2022-03-01T00:00:00.000Z</x:v>
      </x:c>
      <x:c r="C297" s="2" t="str">
        <x:v>SEDG</x:v>
      </x:c>
      <x:c r="D297" s="11" t="n">
        <x:f>291*'Summary'!$C$18</x:f>
        <x:v>291000</x:v>
      </x:c>
      <x:c r="E297" s="2" t="n">
        <x:v>505</x:v>
      </x:c>
      <x:c r="F297" s="2" t="n">
        <x:v>504</x:v>
      </x:c>
      <x:c r="G297" s="9" t="n">
        <x:f>F297/E297</x:f>
        <x:v>0.998019801980198</x:v>
      </x:c>
      <x:c r="H297" s="11" t="n">
        <x:f>K297*'Summary'!$C$18</x:f>
        <x:v>2730620.913498159</x:v>
      </x:c>
      <x:c r="I297" s="11" t="n">
        <x:f>L297*'Summary'!$C$18</x:f>
        <x:v>1186585.991094702</x:v>
      </x:c>
      <x:c r="J297" s="11" t="n">
        <x:f>M297*'Summary'!$C$18</x:f>
        <x:v>80000</x:v>
      </x:c>
      <x:c r="K297" s="12" t="n">
        <x:v>2730.620913498159</x:v>
      </x:c>
      <x:c r="L297" s="12" t="n">
        <x:v>1186.585991094702</x:v>
      </x:c>
      <x:c r="M297" s="12" t="n">
        <x:v>80</x:v>
      </x:c>
      <x:c r="N297" s="2" t="str">
        <x:v>2022-03</x:v>
      </x:c>
    </x:row>
    <x:row r="298" ht="22" customHeight="1">
      <x:c r="A298" s="8" t="d">
        <x:v>2022-04-29T00:00:00.000Z</x:v>
      </x:c>
      <x:c r="B298" s="8" t="d">
        <x:v>2022-04-01T00:00:00.000Z</x:v>
      </x:c>
      <x:c r="C298" s="2" t="str">
        <x:v>NLSN</x:v>
      </x:c>
      <x:c r="D298" s="11" t="n">
        <x:f>292*'Summary'!$C$18</x:f>
        <x:v>292000</x:v>
      </x:c>
      <x:c r="E298" s="2" t="n">
        <x:v>505</x:v>
      </x:c>
      <x:c r="F298" s="2" t="n">
        <x:v>505</x:v>
      </x:c>
      <x:c r="G298" s="9" t="n">
        <x:f>F298/E298</x:f>
        <x:v>1</x:v>
      </x:c>
      <x:c r="H298" s="11" t="n">
        <x:f>K298*'Summary'!$C$18</x:f>
        <x:v>2382796.009381023</x:v>
      </x:c>
      <x:c r="I298" s="11" t="n">
        <x:f>L298*'Summary'!$C$18</x:f>
        <x:v>1083349.3372215938</x:v>
      </x:c>
      <x:c r="J298" s="11" t="n">
        <x:f>M298*'Summary'!$C$18</x:f>
        <x:v>80000</x:v>
      </x:c>
      <x:c r="K298" s="12" t="n">
        <x:v>2382.796009381023</x:v>
      </x:c>
      <x:c r="L298" s="12" t="n">
        <x:v>1083.349337221594</x:v>
      </x:c>
      <x:c r="M298" s="12" t="n">
        <x:v>80</x:v>
      </x:c>
      <x:c r="N298" s="2" t="str">
        <x:v>2022-04</x:v>
      </x:c>
    </x:row>
    <x:row r="299" ht="22" customHeight="1">
      <x:c r="A299" s="8" t="d">
        <x:v>2022-05-31T00:00:00.000Z</x:v>
      </x:c>
      <x:c r="B299" s="8" t="d">
        <x:v>2022-05-02T00:00:00.000Z</x:v>
      </x:c>
      <x:c r="C299" s="2" t="str">
        <x:v>TWTR</x:v>
      </x:c>
      <x:c r="D299" s="11" t="n">
        <x:f>293*'Summary'!$C$18</x:f>
        <x:v>293000</x:v>
      </x:c>
      <x:c r="E299" s="2" t="n">
        <x:v>504</x:v>
      </x:c>
      <x:c r="F299" s="2" t="n">
        <x:v>504</x:v>
      </x:c>
      <x:c r="G299" s="9" t="n">
        <x:f>F299/E299</x:f>
        <x:v>1</x:v>
      </x:c>
      <x:c r="H299" s="11" t="n">
        <x:f>K299*'Summary'!$C$18</x:f>
        <x:v>2331384.697947106</x:v>
      </x:c>
      <x:c r="I299" s="11" t="n">
        <x:f>L299*'Summary'!$C$18</x:f>
        <x:v>1086796.8294260316</x:v>
      </x:c>
      <x:c r="J299" s="11" t="n">
        <x:f>M299*'Summary'!$C$18</x:f>
        <x:v>80000</x:v>
      </x:c>
      <x:c r="K299" s="12" t="n">
        <x:v>2331.384697947106</x:v>
      </x:c>
      <x:c r="L299" s="12" t="n">
        <x:v>1086.7968294260315</x:v>
      </x:c>
      <x:c r="M299" s="12" t="n">
        <x:v>80</x:v>
      </x:c>
      <x:c r="N299" s="2" t="str">
        <x:v>2022-05</x:v>
      </x:c>
    </x:row>
    <x:row r="300" ht="22" customHeight="1">
      <x:c r="A300" s="8" t="d">
        <x:v>2022-06-30T00:00:00.000Z</x:v>
      </x:c>
      <x:c r="B300" s="8" t="d">
        <x:v>2022-06-01T00:00:00.000Z</x:v>
      </x:c>
      <x:c r="C300" s="2" t="str">
        <x:v>ALB</x:v>
      </x:c>
      <x:c r="D300" s="11" t="n">
        <x:f>294*'Summary'!$C$18</x:f>
        <x:v>294000</x:v>
      </x:c>
      <x:c r="E300" s="2" t="n">
        <x:v>504</x:v>
      </x:c>
      <x:c r="F300" s="2" t="n">
        <x:v>504</x:v>
      </x:c>
      <x:c r="G300" s="9" t="n">
        <x:f>F300/E300</x:f>
        <x:v>1</x:v>
      </x:c>
      <x:c r="H300" s="11" t="n">
        <x:f>K300*'Summary'!$C$18</x:f>
        <x:v>2065965.1909539748</x:v>
      </x:c>
      <x:c r="I300" s="11" t="n">
        <x:f>L300*'Summary'!$C$18</x:f>
        <x:v>998091.6658934709</x:v>
      </x:c>
      <x:c r="J300" s="11" t="n">
        <x:f>M300*'Summary'!$C$18</x:f>
        <x:v>81000</x:v>
      </x:c>
      <x:c r="K300" s="12" t="n">
        <x:v>2065.965190953975</x:v>
      </x:c>
      <x:c r="L300" s="12" t="n">
        <x:v>998.0916658934709</x:v>
      </x:c>
      <x:c r="M300" s="12" t="n">
        <x:v>81</x:v>
      </x:c>
      <x:c r="N300" s="2" t="str">
        <x:v>2022-06</x:v>
      </x:c>
    </x:row>
    <x:row r="301" ht="22" customHeight="1">
      <x:c r="A301" s="8" t="d">
        <x:v>2022-07-29T00:00:00.000Z</x:v>
      </x:c>
      <x:c r="B301" s="8" t="d">
        <x:v>2022-07-01T00:00:00.000Z</x:v>
      </x:c>
      <x:c r="C301" s="2" t="str">
        <x:v>DG</x:v>
      </x:c>
      <x:c r="D301" s="11" t="n">
        <x:f>295*'Summary'!$C$18</x:f>
        <x:v>295000</x:v>
      </x:c>
      <x:c r="E301" s="2" t="n">
        <x:v>503</x:v>
      </x:c>
      <x:c r="F301" s="2" t="n">
        <x:v>503</x:v>
      </x:c>
      <x:c r="G301" s="9" t="n">
        <x:f>F301/E301</x:f>
        <x:v>1</x:v>
      </x:c>
      <x:c r="H301" s="11" t="n">
        <x:f>K301*'Summary'!$C$18</x:f>
        <x:v>2397933.072889376</x:v>
      </x:c>
      <x:c r="I301" s="11" t="n">
        <x:f>L301*'Summary'!$C$18</x:f>
        <x:v>1091097.4701087389</x:v>
      </x:c>
      <x:c r="J301" s="11" t="n">
        <x:f>M301*'Summary'!$C$18</x:f>
        <x:v>81000</x:v>
      </x:c>
      <x:c r="K301" s="12" t="n">
        <x:v>2397.933072889376</x:v>
      </x:c>
      <x:c r="L301" s="12" t="n">
        <x:v>1091.097470108739</x:v>
      </x:c>
      <x:c r="M301" s="12" t="n">
        <x:v>81</x:v>
      </x:c>
      <x:c r="N301" s="2" t="str">
        <x:v>2022-07</x:v>
      </x:c>
    </x:row>
    <x:row r="302" ht="22" customHeight="1">
      <x:c r="A302" s="8" t="d">
        <x:v>2022-08-31T00:00:00.000Z</x:v>
      </x:c>
      <x:c r="B302" s="8" t="d">
        <x:v>2022-08-01T00:00:00.000Z</x:v>
      </x:c>
      <x:c r="C302" s="2" t="str">
        <x:v>ENPH</x:v>
      </x:c>
      <x:c r="D302" s="11" t="n">
        <x:f>296*'Summary'!$C$18</x:f>
        <x:v>296000</x:v>
      </x:c>
      <x:c r="E302" s="2" t="n">
        <x:v>503</x:v>
      </x:c>
      <x:c r="F302" s="2" t="n">
        <x:v>503</x:v>
      </x:c>
      <x:c r="G302" s="9" t="n">
        <x:f>F302/E302</x:f>
        <x:v>1</x:v>
      </x:c>
      <x:c r="H302" s="11" t="n">
        <x:f>K302*'Summary'!$C$18</x:f>
        <x:v>2320848.5473136324</x:v>
      </x:c>
      <x:c r="I302" s="11" t="n">
        <x:f>L302*'Summary'!$C$18</x:f>
        <x:v>1047544.4149057842</x:v>
      </x:c>
      <x:c r="J302" s="11" t="n">
        <x:f>M302*'Summary'!$C$18</x:f>
        <x:v>81000</x:v>
      </x:c>
      <x:c r="K302" s="12" t="n">
        <x:v>2320.8485473136325</x:v>
      </x:c>
      <x:c r="L302" s="12" t="n">
        <x:v>1047.5444149057842</x:v>
      </x:c>
      <x:c r="M302" s="12" t="n">
        <x:v>81</x:v>
      </x:c>
      <x:c r="N302" s="2" t="str">
        <x:v>2022-08</x:v>
      </x:c>
    </x:row>
    <x:row r="303" ht="22" customHeight="1">
      <x:c r="A303" s="8" t="d">
        <x:v>2022-09-30T00:00:00.000Z</x:v>
      </x:c>
      <x:c r="B303" s="8" t="d">
        <x:v>2022-09-01T00:00:00.000Z</x:v>
      </x:c>
      <x:c r="C303" s="2" t="str">
        <x:v>CEG</x:v>
      </x:c>
      <x:c r="D303" s="11" t="n">
        <x:f>297*'Summary'!$C$18</x:f>
        <x:v>297000</x:v>
      </x:c>
      <x:c r="E303" s="2" t="n">
        <x:v>503</x:v>
      </x:c>
      <x:c r="F303" s="2" t="n">
        <x:v>503</x:v>
      </x:c>
      <x:c r="G303" s="9" t="n">
        <x:f>F303/E303</x:f>
        <x:v>1</x:v>
      </x:c>
      <x:c r="H303" s="11" t="n">
        <x:f>K303*'Summary'!$C$18</x:f>
        <x:v>2052077.3269666524</x:v>
      </x:c>
      <x:c r="I303" s="11" t="n">
        <x:f>L303*'Summary'!$C$18</x:f>
        <x:v>951616.1082866525</x:v>
      </x:c>
      <x:c r="J303" s="11" t="n">
        <x:f>M303*'Summary'!$C$18</x:f>
        <x:v>84000</x:v>
      </x:c>
      <x:c r="K303" s="12" t="n">
        <x:v>2052.0773269666524</x:v>
      </x:c>
      <x:c r="L303" s="12" t="n">
        <x:v>951.6161082866524</x:v>
      </x:c>
      <x:c r="M303" s="12" t="n">
        <x:v>84</x:v>
      </x:c>
      <x:c r="N303" s="2" t="str">
        <x:v>2022-09</x:v>
      </x:c>
    </x:row>
    <x:row r="304" ht="22" customHeight="1">
      <x:c r="A304" s="8" t="d">
        <x:v>2022-10-31T00:00:00.000Z</x:v>
      </x:c>
      <x:c r="B304" s="8" t="d">
        <x:v>2022-10-03T00:00:00.000Z</x:v>
      </x:c>
      <x:c r="C304" s="2" t="str">
        <x:v>BIIB</x:v>
      </x:c>
      <x:c r="D304" s="11" t="n">
        <x:f>298*'Summary'!$C$18</x:f>
        <x:v>298000</x:v>
      </x:c>
      <x:c r="E304" s="2" t="n">
        <x:v>503</x:v>
      </x:c>
      <x:c r="F304" s="2" t="n">
        <x:v>502</x:v>
      </x:c>
      <x:c r="G304" s="9" t="n">
        <x:f>F304/E304</x:f>
        <x:v>0.9980119284294234</x:v>
      </x:c>
      <x:c r="H304" s="11" t="n">
        <x:f>K304*'Summary'!$C$18</x:f>
        <x:v>2276364.969709729</x:v>
      </x:c>
      <x:c r="I304" s="11" t="n">
        <x:f>L304*'Summary'!$C$18</x:f>
        <x:v>1030028.8234632076</x:v>
      </x:c>
      <x:c r="J304" s="11" t="n">
        <x:f>M304*'Summary'!$C$18</x:f>
        <x:v>88000</x:v>
      </x:c>
      <x:c r="K304" s="12" t="n">
        <x:v>2276.364969709729</x:v>
      </x:c>
      <x:c r="L304" s="12" t="n">
        <x:v>1030.0288234632076</x:v>
      </x:c>
      <x:c r="M304" s="12" t="n">
        <x:v>88</x:v>
      </x:c>
      <x:c r="N304" s="2" t="str">
        <x:v>2022-10</x:v>
      </x:c>
    </x:row>
    <x:row r="305" ht="22" customHeight="1">
      <x:c r="A305" s="8" t="d">
        <x:v>2022-11-30T00:00:00.000Z</x:v>
      </x:c>
      <x:c r="B305" s="8" t="d">
        <x:v>2022-11-01T00:00:00.000Z</x:v>
      </x:c>
      <x:c r="C305" s="2" t="str">
        <x:v>DXCM</x:v>
      </x:c>
      <x:c r="D305" s="11" t="n">
        <x:f>299*'Summary'!$C$18</x:f>
        <x:v>299000</x:v>
      </x:c>
      <x:c r="E305" s="2" t="n">
        <x:v>503</x:v>
      </x:c>
      <x:c r="F305" s="2" t="n">
        <x:v>502</x:v>
      </x:c>
      <x:c r="G305" s="9" t="n">
        <x:f>F305/E305</x:f>
        <x:v>0.9980119284294234</x:v>
      </x:c>
      <x:c r="H305" s="11" t="n">
        <x:f>K305*'Summary'!$C$18</x:f>
        <x:v>2335391.7845047694</x:v>
      </x:c>
      <x:c r="I305" s="11" t="n">
        <x:f>L305*'Summary'!$C$18</x:f>
        <x:v>1088334.6515832292</x:v>
      </x:c>
      <x:c r="J305" s="11" t="n">
        <x:f>M305*'Summary'!$C$18</x:f>
        <x:v>88000</x:v>
      </x:c>
      <x:c r="K305" s="12" t="n">
        <x:v>2335.3917845047695</x:v>
      </x:c>
      <x:c r="L305" s="12" t="n">
        <x:v>1088.3346515832293</x:v>
      </x:c>
      <x:c r="M305" s="12" t="n">
        <x:v>88</x:v>
      </x:c>
      <x:c r="N305" s="2" t="str">
        <x:v>2022-11</x:v>
      </x:c>
    </x:row>
    <x:row r="306" ht="22" customHeight="1">
      <x:c r="A306" s="8" t="d">
        <x:v>2022-12-30T00:00:00.000Z</x:v>
      </x:c>
      <x:c r="B306" s="8" t="d">
        <x:v>2022-12-01T00:00:00.000Z</x:v>
      </x:c>
      <x:c r="C306" s="2" t="str">
        <x:v>ABMD</x:v>
      </x:c>
      <x:c r="D306" s="11" t="n">
        <x:f>300*'Summary'!$C$18</x:f>
        <x:v>300000</x:v>
      </x:c>
      <x:c r="E306" s="2" t="n">
        <x:v>503</x:v>
      </x:c>
      <x:c r="F306" s="2" t="n">
        <x:v>503</x:v>
      </x:c>
      <x:c r="G306" s="9" t="n">
        <x:f>F306/E306</x:f>
        <x:v>1</x:v>
      </x:c>
      <x:c r="H306" s="11" t="n">
        <x:f>K306*'Summary'!$C$18</x:f>
        <x:v>2103879.8551031537</x:v>
      </x:c>
      <x:c r="I306" s="11" t="n">
        <x:f>L306*'Summary'!$C$18</x:f>
        <x:v>1026555.6903462828</x:v>
      </x:c>
      <x:c r="J306" s="11" t="n">
        <x:f>M306*'Summary'!$C$18</x:f>
        <x:v>89000</x:v>
      </x:c>
      <x:c r="K306" s="12" t="n">
        <x:v>2103.8798551031537</x:v>
      </x:c>
      <x:c r="L306" s="12" t="n">
        <x:v>1026.5556903462827</x:v>
      </x:c>
      <x:c r="M306" s="12" t="n">
        <x:v>89</x:v>
      </x:c>
      <x:c r="N306" s="2" t="str">
        <x:v>2022-12</x:v>
      </x:c>
    </x:row>
    <x:row r="307" ht="22" customHeight="1">
      <x:c r="A307" s="8" t="d">
        <x:v>2023-01-31T00:00:00.000Z</x:v>
      </x:c>
      <x:c r="B307" s="8" t="d">
        <x:v>2023-01-03T00:00:00.000Z</x:v>
      </x:c>
      <x:c r="C307" s="2" t="str">
        <x:v>UHS</x:v>
      </x:c>
      <x:c r="D307" s="11" t="n">
        <x:f>301*'Summary'!$C$18</x:f>
        <x:v>301000</x:v>
      </x:c>
      <x:c r="E307" s="2" t="n">
        <x:v>503</x:v>
      </x:c>
      <x:c r="F307" s="2" t="n">
        <x:v>503</x:v>
      </x:c>
      <x:c r="G307" s="9" t="n">
        <x:f>F307/E307</x:f>
        <x:v>1</x:v>
      </x:c>
      <x:c r="H307" s="11" t="n">
        <x:f>K307*'Summary'!$C$18</x:f>
        <x:v>2377478.5229728925</x:v>
      </x:c>
      <x:c r="I307" s="11" t="n">
        <x:f>L307*'Summary'!$C$18</x:f>
        <x:v>1092170.6056102978</x:v>
      </x:c>
      <x:c r="J307" s="11" t="n">
        <x:f>M307*'Summary'!$C$18</x:f>
        <x:v>89000</x:v>
      </x:c>
      <x:c r="K307" s="12" t="n">
        <x:v>2377.4785229728923</x:v>
      </x:c>
      <x:c r="L307" s="12" t="n">
        <x:v>1092.1706056102978</x:v>
      </x:c>
      <x:c r="M307" s="12" t="n">
        <x:v>89</x:v>
      </x:c>
      <x:c r="N307" s="2" t="str">
        <x:v>2023-01</x:v>
      </x:c>
    </x:row>
    <x:row r="308" ht="22" customHeight="1">
      <x:c r="A308" s="8" t="d">
        <x:v>2023-02-28T00:00:00.000Z</x:v>
      </x:c>
      <x:c r="B308" s="8" t="d">
        <x:v>2023-02-01T00:00:00.000Z</x:v>
      </x:c>
      <x:c r="C308" s="2" t="str">
        <x:v>WBD</x:v>
      </x:c>
      <x:c r="D308" s="11" t="n">
        <x:f>302*'Summary'!$C$18</x:f>
        <x:v>302000</x:v>
      </x:c>
      <x:c r="E308" s="2" t="n">
        <x:v>503</x:v>
      </x:c>
      <x:c r="F308" s="2" t="n">
        <x:v>503</x:v>
      </x:c>
      <x:c r="G308" s="9" t="n">
        <x:f>F308/E308</x:f>
        <x:v>1</x:v>
      </x:c>
      <x:c r="H308" s="11" t="n">
        <x:f>K308*'Summary'!$C$18</x:f>
        <x:v>2410546.6229907237</x:v>
      </x:c>
      <x:c r="I308" s="11" t="n">
        <x:f>L308*'Summary'!$C$18</x:f>
        <x:v>1065688.4105363952</x:v>
      </x:c>
      <x:c r="J308" s="11" t="n">
        <x:f>M308*'Summary'!$C$18</x:f>
        <x:v>89000</x:v>
      </x:c>
      <x:c r="K308" s="12" t="n">
        <x:v>2410.546622990724</x:v>
      </x:c>
      <x:c r="L308" s="12" t="n">
        <x:v>1065.6884105363952</x:v>
      </x:c>
      <x:c r="M308" s="12" t="n">
        <x:v>89</x:v>
      </x:c>
      <x:c r="N308" s="2" t="str">
        <x:v>2023-02</x:v>
      </x:c>
    </x:row>
    <x:row r="309" ht="22" customHeight="1">
      <x:c r="A309" s="8" t="d">
        <x:v>2023-03-31T00:00:00.000Z</x:v>
      </x:c>
      <x:c r="B309" s="8" t="d">
        <x:v>2023-03-01T00:00:00.000Z</x:v>
      </x:c>
      <x:c r="C309" s="2" t="str">
        <x:v>CTLT</x:v>
      </x:c>
      <x:c r="D309" s="11" t="n">
        <x:f>303*'Summary'!$C$18</x:f>
        <x:v>303000</x:v>
      </x:c>
      <x:c r="E309" s="2" t="n">
        <x:v>503</x:v>
      </x:c>
      <x:c r="F309" s="2" t="n">
        <x:v>503</x:v>
      </x:c>
      <x:c r="G309" s="9" t="n">
        <x:f>F309/E309</x:f>
        <x:v>1</x:v>
      </x:c>
      <x:c r="H309" s="11" t="n">
        <x:f>K309*'Summary'!$C$18</x:f>
        <x:v>2615898.0925555243</x:v>
      </x:c>
      <x:c r="I309" s="11" t="n">
        <x:f>L309*'Summary'!$C$18</x:f>
        <x:v>1106241.0621757286</x:v>
      </x:c>
      <x:c r="J309" s="11" t="n">
        <x:f>M309*'Summary'!$C$18</x:f>
        <x:v>89000</x:v>
      </x:c>
      <x:c r="K309" s="12" t="n">
        <x:v>2615.8980925555243</x:v>
      </x:c>
      <x:c r="L309" s="12" t="n">
        <x:v>1106.2410621757285</x:v>
      </x:c>
      <x:c r="M309" s="12" t="n">
        <x:v>89</x:v>
      </x:c>
      <x:c r="N309" s="2" t="str">
        <x:v>2023-03</x:v>
      </x:c>
    </x:row>
    <x:row r="310" ht="22" customHeight="1">
      <x:c r="A310" s="8" t="d">
        <x:v>2023-04-28T00:00:00.000Z</x:v>
      </x:c>
      <x:c r="B310" s="8" t="d">
        <x:v>2023-04-03T00:00:00.000Z</x:v>
      </x:c>
      <x:c r="C310" s="2" t="str">
        <x:v>INTC</x:v>
      </x:c>
      <x:c r="D310" s="11" t="n">
        <x:f>304*'Summary'!$C$18</x:f>
        <x:v>304000</x:v>
      </x:c>
      <x:c r="E310" s="2" t="n">
        <x:v>503</x:v>
      </x:c>
      <x:c r="F310" s="2" t="n">
        <x:v>503</x:v>
      </x:c>
      <x:c r="G310" s="9" t="n">
        <x:f>F310/E310</x:f>
        <x:v>1</x:v>
      </x:c>
      <x:c r="H310" s="11" t="n">
        <x:f>K310*'Summary'!$C$18</x:f>
        <x:v>2647064.0579211535</x:v>
      </x:c>
      <x:c r="I310" s="11" t="n">
        <x:f>L310*'Summary'!$C$18</x:f>
        <x:v>1124930.5057810533</x:v>
      </x:c>
      <x:c r="J310" s="11" t="n">
        <x:f>M310*'Summary'!$C$18</x:f>
        <x:v>89000</x:v>
      </x:c>
      <x:c r="K310" s="12" t="n">
        <x:v>2647.0640579211536</x:v>
      </x:c>
      <x:c r="L310" s="12" t="n">
        <x:v>1124.9305057810534</x:v>
      </x:c>
      <x:c r="M310" s="12" t="n">
        <x:v>89</x:v>
      </x:c>
      <x:c r="N310" s="2" t="str">
        <x:v>2023-04</x:v>
      </x:c>
    </x:row>
    <x:row r="311" ht="22" customHeight="1">
      <x:c r="A311" s="8" t="d">
        <x:v>2023-05-31T00:00:00.000Z</x:v>
      </x:c>
      <x:c r="B311" s="8" t="d">
        <x:v>2023-05-01T00:00:00.000Z</x:v>
      </x:c>
      <x:c r="C311" s="2" t="str">
        <x:v>CMG</x:v>
      </x:c>
      <x:c r="D311" s="11" t="n">
        <x:f>305*'Summary'!$C$18</x:f>
        <x:v>305000</x:v>
      </x:c>
      <x:c r="E311" s="2" t="n">
        <x:v>503</x:v>
      </x:c>
      <x:c r="F311" s="2" t="n">
        <x:v>503</x:v>
      </x:c>
      <x:c r="G311" s="9" t="n">
        <x:f>F311/E311</x:f>
        <x:v>1</x:v>
      </x:c>
      <x:c r="H311" s="11" t="n">
        <x:f>K311*'Summary'!$C$18</x:f>
        <x:v>2859252.905835866</x:v>
      </x:c>
      <x:c r="I311" s="11" t="n">
        <x:f>L311*'Summary'!$C$18</x:f>
        <x:v>1131129.1314034658</x:v>
      </x:c>
      <x:c r="J311" s="11" t="n">
        <x:f>M311*'Summary'!$C$18</x:f>
        <x:v>89000</x:v>
      </x:c>
      <x:c r="K311" s="12" t="n">
        <x:v>2859.252905835866</x:v>
      </x:c>
      <x:c r="L311" s="12" t="n">
        <x:v>1131.1291314034659</x:v>
      </x:c>
      <x:c r="M311" s="12" t="n">
        <x:v>89</x:v>
      </x:c>
      <x:c r="N311" s="2" t="str">
        <x:v>2023-05</x:v>
      </x:c>
    </x:row>
    <x:row r="312" ht="22" customHeight="1">
      <x:c r="A312" s="8" t="d">
        <x:v>2023-06-30T00:00:00.000Z</x:v>
      </x:c>
      <x:c r="B312" s="8" t="d">
        <x:v>2023-06-01T00:00:00.000Z</x:v>
      </x:c>
      <x:c r="C312" s="2" t="str">
        <x:v>NVDA</x:v>
      </x:c>
      <x:c r="D312" s="11" t="n">
        <x:f>306*'Summary'!$C$18</x:f>
        <x:v>306000</x:v>
      </x:c>
      <x:c r="E312" s="2" t="n">
        <x:v>503</x:v>
      </x:c>
      <x:c r="F312" s="2" t="n">
        <x:v>503</x:v>
      </x:c>
      <x:c r="G312" s="9" t="n">
        <x:f>F312/E312</x:f>
        <x:v>1</x:v>
      </x:c>
      <x:c r="H312" s="11" t="n">
        <x:f>K312*'Summary'!$C$18</x:f>
        <x:v>3116130.1385235214</x:v>
      </x:c>
      <x:c r="I312" s="11" t="n">
        <x:f>L312*'Summary'!$C$18</x:f>
        <x:v>1205490.2784918696</x:v>
      </x:c>
      <x:c r="J312" s="11" t="n">
        <x:f>M312*'Summary'!$C$18</x:f>
        <x:v>89000</x:v>
      </x:c>
      <x:c r="K312" s="12" t="n">
        <x:v>3116.1301385235215</x:v>
      </x:c>
      <x:c r="L312" s="12" t="n">
        <x:v>1205.4902784918695</x:v>
      </x:c>
      <x:c r="M312" s="12" t="n">
        <x:v>89</x:v>
      </x:c>
      <x:c r="N312" s="2" t="str">
        <x:v>2023-06</x:v>
      </x:c>
    </x:row>
    <x:row r="313" ht="22" customHeight="1">
      <x:c r="A313" s="8" t="d">
        <x:v>2023-07-31T00:00:00.000Z</x:v>
      </x:c>
      <x:c r="B313" s="8" t="d">
        <x:v>2023-07-03T00:00:00.000Z</x:v>
      </x:c>
      <x:c r="C313" s="2" t="str">
        <x:v>CCL</x:v>
      </x:c>
      <x:c r="D313" s="11" t="n">
        <x:f>307*'Summary'!$C$18</x:f>
        <x:v>307000</x:v>
      </x:c>
      <x:c r="E313" s="2" t="n">
        <x:v>503</x:v>
      </x:c>
      <x:c r="F313" s="2" t="n">
        <x:v>503</x:v>
      </x:c>
      <x:c r="G313" s="9" t="n">
        <x:f>F313/E313</x:f>
        <x:v>1</x:v>
      </x:c>
      <x:c r="H313" s="11" t="n">
        <x:f>K313*'Summary'!$C$18</x:f>
        <x:v>3225902.0330169117</x:v>
      </x:c>
      <x:c r="I313" s="11" t="n">
        <x:f>L313*'Summary'!$C$18</x:f>
        <x:v>1245983.505894937</x:v>
      </x:c>
      <x:c r="J313" s="11" t="n">
        <x:f>M313*'Summary'!$C$18</x:f>
        <x:v>89000</x:v>
      </x:c>
      <x:c r="K313" s="12" t="n">
        <x:v>3225.902033016912</x:v>
      </x:c>
      <x:c r="L313" s="12" t="n">
        <x:v>1245.983505894937</x:v>
      </x:c>
      <x:c r="M313" s="12" t="n">
        <x:v>89</x:v>
      </x:c>
      <x:c r="N313" s="2" t="str">
        <x:v>2023-07</x:v>
      </x:c>
    </x:row>
    <x:row r="314" ht="22" customHeight="1">
      <x:c r="A314" s="8" t="d">
        <x:v>2023-08-31T00:00:00.000Z</x:v>
      </x:c>
      <x:c r="B314" s="8" t="d">
        <x:v>2023-08-01T00:00:00.000Z</x:v>
      </x:c>
      <x:c r="C314" s="2" t="str">
        <x:v>ZION</x:v>
      </x:c>
      <x:c r="D314" s="11" t="n">
        <x:f>308*'Summary'!$C$18</x:f>
        <x:v>308000</x:v>
      </x:c>
      <x:c r="E314" s="2" t="n">
        <x:v>503</x:v>
      </x:c>
      <x:c r="F314" s="2" t="n">
        <x:v>503</x:v>
      </x:c>
      <x:c r="G314" s="9" t="n">
        <x:f>F314/E314</x:f>
        <x:v>1</x:v>
      </x:c>
      <x:c r="H314" s="11" t="n">
        <x:f>K314*'Summary'!$C$18</x:f>
        <x:v>3171126.557047409</x:v>
      </x:c>
      <x:c r="I314" s="11" t="n">
        <x:f>L314*'Summary'!$C$18</x:f>
        <x:v>1226720.8093362115</x:v>
      </x:c>
      <x:c r="J314" s="11" t="n">
        <x:f>M314*'Summary'!$C$18</x:f>
        <x:v>89000</x:v>
      </x:c>
      <x:c r="K314" s="12" t="n">
        <x:v>3171.126557047409</x:v>
      </x:c>
      <x:c r="L314" s="12" t="n">
        <x:v>1226.7208093362115</x:v>
      </x:c>
      <x:c r="M314" s="12" t="n">
        <x:v>89</x:v>
      </x:c>
      <x:c r="N314" s="2" t="str">
        <x:v>2023-08</x:v>
      </x:c>
    </x:row>
    <x:row r="315" ht="22" customHeight="1">
      <x:c r="A315" s="8" t="d">
        <x:v>2023-09-29T00:00:00.000Z</x:v>
      </x:c>
      <x:c r="B315" s="8" t="d">
        <x:v>2023-09-01T00:00:00.000Z</x:v>
      </x:c>
      <x:c r="C315" s="2" t="str">
        <x:v>ANET</x:v>
      </x:c>
      <x:c r="D315" s="11" t="n">
        <x:f>309*'Summary'!$C$18</x:f>
        <x:v>309000</x:v>
      </x:c>
      <x:c r="E315" s="2" t="n">
        <x:v>503</x:v>
      </x:c>
      <x:c r="F315" s="2" t="n">
        <x:v>503</x:v>
      </x:c>
      <x:c r="G315" s="9" t="n">
        <x:f>F315/E315</x:f>
        <x:v>1</x:v>
      </x:c>
      <x:c r="H315" s="11" t="n">
        <x:f>K315*'Summary'!$C$18</x:f>
        <x:v>2911081.3112858613</x:v>
      </x:c>
      <x:c r="I315" s="11" t="n">
        <x:f>L315*'Summary'!$C$18</x:f>
        <x:v>1169478.5863521188</x:v>
      </x:c>
      <x:c r="J315" s="11" t="n">
        <x:f>M315*'Summary'!$C$18</x:f>
        <x:v>89000</x:v>
      </x:c>
      <x:c r="K315" s="12" t="n">
        <x:v>2911.0813112858614</x:v>
      </x:c>
      <x:c r="L315" s="12" t="n">
        <x:v>1169.4785863521188</x:v>
      </x:c>
      <x:c r="M315" s="12" t="n">
        <x:v>89</x:v>
      </x:c>
      <x:c r="N315" s="2" t="str">
        <x:v>2023-09</x:v>
      </x:c>
    </x:row>
    <x:row r="316" ht="22" customHeight="1">
      <x:c r="A316" s="8" t="d">
        <x:v>2023-10-31T00:00:00.000Z</x:v>
      </x:c>
      <x:c r="B316" s="8" t="d">
        <x:v>2023-10-02T00:00:00.000Z</x:v>
      </x:c>
      <x:c r="C316" s="2" t="str">
        <x:v>CNC</x:v>
      </x:c>
      <x:c r="D316" s="11" t="n">
        <x:f>310*'Summary'!$C$18</x:f>
        <x:v>310000</x:v>
      </x:c>
      <x:c r="E316" s="2" t="n">
        <x:v>503</x:v>
      </x:c>
      <x:c r="F316" s="2" t="n">
        <x:v>503</x:v>
      </x:c>
      <x:c r="G316" s="9" t="n">
        <x:f>F316/E316</x:f>
        <x:v>1</x:v>
      </x:c>
      <x:c r="H316" s="11" t="n">
        <x:f>K316*'Summary'!$C$18</x:f>
        <x:v>2861360.831554508</x:v>
      </x:c>
      <x:c r="I316" s="11" t="n">
        <x:f>L316*'Summary'!$C$18</x:f>
        <x:v>1145071.0900199397</x:v>
      </x:c>
      <x:c r="J316" s="11" t="n">
        <x:f>M316*'Summary'!$C$18</x:f>
        <x:v>89000</x:v>
      </x:c>
      <x:c r="K316" s="12" t="n">
        <x:v>2861.360831554508</x:v>
      </x:c>
      <x:c r="L316" s="12" t="n">
        <x:v>1145.0710900199397</x:v>
      </x:c>
      <x:c r="M316" s="12" t="n">
        <x:v>89</x:v>
      </x:c>
      <x:c r="N316" s="2" t="str">
        <x:v>2023-10</x:v>
      </x:c>
    </x:row>
    <x:row r="317" ht="22" customHeight="1">
      <x:c r="A317" s="8" t="d">
        <x:v>2023-11-30T00:00:00.000Z</x:v>
      </x:c>
      <x:c r="B317" s="8" t="d">
        <x:v>2023-11-01T00:00:00.000Z</x:v>
      </x:c>
      <x:c r="C317" s="2" t="str">
        <x:v>ALL</x:v>
      </x:c>
      <x:c r="D317" s="11" t="n">
        <x:f>311*'Summary'!$C$18</x:f>
        <x:v>311000</x:v>
      </x:c>
      <x:c r="E317" s="2" t="n">
        <x:v>503</x:v>
      </x:c>
      <x:c r="F317" s="2" t="n">
        <x:v>502</x:v>
      </x:c>
      <x:c r="G317" s="9" t="n">
        <x:f>F317/E317</x:f>
        <x:v>0.9980119284294234</x:v>
      </x:c>
      <x:c r="H317" s="11" t="n">
        <x:f>K317*'Summary'!$C$18</x:f>
        <x:v>3186841.9009702993</x:v>
      </x:c>
      <x:c r="I317" s="11" t="n">
        <x:f>L317*'Summary'!$C$18</x:f>
        <x:v>1250754.984415702</x:v>
      </x:c>
      <x:c r="J317" s="11" t="n">
        <x:f>M317*'Summary'!$C$18</x:f>
        <x:v>89000</x:v>
      </x:c>
      <x:c r="K317" s="12" t="n">
        <x:v>3186.8419009702993</x:v>
      </x:c>
      <x:c r="L317" s="12" t="n">
        <x:v>1250.754984415702</x:v>
      </x:c>
      <x:c r="M317" s="12" t="n">
        <x:v>89</x:v>
      </x:c>
      <x:c r="N317" s="2" t="str">
        <x:v>2023-11</x:v>
      </x:c>
    </x:row>
    <x:row r="318" ht="22" customHeight="1">
      <x:c r="A318" s="8" t="d">
        <x:v>2023-12-29T00:00:00.000Z</x:v>
      </x:c>
      <x:c r="B318" s="8" t="d">
        <x:v>2023-12-01T00:00:00.000Z</x:v>
      </x:c>
      <x:c r="C318" s="2" t="str">
        <x:v>EXPE</x:v>
      </x:c>
      <x:c r="D318" s="11" t="n">
        <x:f>312*'Summary'!$C$18</x:f>
        <x:v>312000</x:v>
      </x:c>
      <x:c r="E318" s="2" t="n">
        <x:v>503</x:v>
      </x:c>
      <x:c r="F318" s="2" t="n">
        <x:v>503</x:v>
      </x:c>
      <x:c r="G318" s="9" t="n">
        <x:f>F318/E318</x:f>
        <x:v>1</x:v>
      </x:c>
      <x:c r="H318" s="11" t="n">
        <x:f>K318*'Summary'!$C$18</x:f>
        <x:v>3332419.72618749</x:v>
      </x:c>
      <x:c r="I318" s="11" t="n">
        <x:f>L318*'Summary'!$C$18</x:f>
        <x:v>1308905.767715463</x:v>
      </x:c>
      <x:c r="J318" s="11" t="n">
        <x:f>M318*'Summary'!$C$18</x:f>
        <x:v>89000</x:v>
      </x:c>
      <x:c r="K318" s="12" t="n">
        <x:v>3332.41972618749</x:v>
      </x:c>
      <x:c r="L318" s="12" t="n">
        <x:v>1308.9057677154628</x:v>
      </x:c>
      <x:c r="M318" s="12" t="n">
        <x:v>89</x:v>
      </x:c>
      <x:c r="N318" s="2" t="str">
        <x:v>2023-12</x:v>
      </x:c>
    </x:row>
    <x:row r="319" ht="22" customHeight="1">
      <x:c r="A319" s="8" t="d">
        <x:v>2024-01-31T00:00:00.000Z</x:v>
      </x:c>
      <x:c r="B319" s="8" t="d">
        <x:v>2024-01-02T00:00:00.000Z</x:v>
      </x:c>
      <x:c r="C319" s="2" t="str">
        <x:v>ILMN</x:v>
      </x:c>
      <x:c r="D319" s="11" t="n">
        <x:f>313*'Summary'!$C$18</x:f>
        <x:v>313000</x:v>
      </x:c>
      <x:c r="E319" s="2" t="n">
        <x:v>503</x:v>
      </x:c>
      <x:c r="F319" s="2" t="n">
        <x:v>503</x:v>
      </x:c>
      <x:c r="G319" s="9" t="n">
        <x:f>F319/E319</x:f>
        <x:v>1</x:v>
      </x:c>
      <x:c r="H319" s="11" t="n">
        <x:f>K319*'Summary'!$C$18</x:f>
        <x:v>3443743.753830052</x:v>
      </x:c>
      <x:c r="I319" s="11" t="n">
        <x:f>L319*'Summary'!$C$18</x:f>
        <x:v>1330774.7118130398</x:v>
      </x:c>
      <x:c r="J319" s="11" t="n">
        <x:f>M319*'Summary'!$C$18</x:f>
        <x:v>89000</x:v>
      </x:c>
      <x:c r="K319" s="12" t="n">
        <x:v>3443.743753830052</x:v>
      </x:c>
      <x:c r="L319" s="12" t="n">
        <x:v>1330.7747118130399</x:v>
      </x:c>
      <x:c r="M319" s="12" t="n">
        <x:v>89</x:v>
      </x:c>
      <x:c r="N319" s="2" t="str">
        <x:v>2024-01</x:v>
      </x:c>
    </x:row>
    <x:row r="320" ht="22" customHeight="1">
      <x:c r="A320" s="8" t="d">
        <x:v>2024-02-29T00:00:00.000Z</x:v>
      </x:c>
      <x:c r="B320" s="8" t="d">
        <x:v>2024-02-01T00:00:00.000Z</x:v>
      </x:c>
      <x:c r="C320" s="2" t="str">
        <x:v>JNPR</x:v>
      </x:c>
      <x:c r="D320" s="11" t="n">
        <x:f>314*'Summary'!$C$18</x:f>
        <x:v>314000</x:v>
      </x:c>
      <x:c r="E320" s="2" t="n">
        <x:v>503</x:v>
      </x:c>
      <x:c r="F320" s="2" t="n">
        <x:v>503</x:v>
      </x:c>
      <x:c r="G320" s="9" t="n">
        <x:f>F320/E320</x:f>
        <x:v>1</x:v>
      </x:c>
      <x:c r="H320" s="11" t="n">
        <x:f>K320*'Summary'!$C$18</x:f>
        <x:v>3718763.74675084</x:v>
      </x:c>
      <x:c r="I320" s="11" t="n">
        <x:f>L320*'Summary'!$C$18</x:f>
        <x:v>1401272.0265384035</x:v>
      </x:c>
      <x:c r="J320" s="11" t="n">
        <x:f>M320*'Summary'!$C$18</x:f>
        <x:v>89000</x:v>
      </x:c>
      <x:c r="K320" s="12" t="n">
        <x:v>3718.76374675084</x:v>
      </x:c>
      <x:c r="L320" s="12" t="n">
        <x:v>1401.2720265384035</x:v>
      </x:c>
      <x:c r="M320" s="12" t="n">
        <x:v>89</x:v>
      </x:c>
      <x:c r="N320" s="2" t="str">
        <x:v>2024-02</x:v>
      </x:c>
    </x:row>
    <x:row r="321" ht="22" customHeight="1">
      <x:c r="A321" s="8" t="d">
        <x:v>2024-03-28T00:00:00.000Z</x:v>
      </x:c>
      <x:c r="B321" s="8" t="d">
        <x:v>2024-03-01T00:00:00.000Z</x:v>
      </x:c>
      <x:c r="C321" s="2" t="str">
        <x:v>CEG</x:v>
      </x:c>
      <x:c r="D321" s="11" t="n">
        <x:f>315*'Summary'!$C$18</x:f>
        <x:v>315000</x:v>
      </x:c>
      <x:c r="E321" s="2" t="n">
        <x:v>503</x:v>
      </x:c>
      <x:c r="F321" s="2" t="n">
        <x:v>503</x:v>
      </x:c>
      <x:c r="G321" s="9" t="n">
        <x:f>F321/E321</x:f>
        <x:v>1</x:v>
      </x:c>
      <x:c r="H321" s="11" t="n">
        <x:f>K321*'Summary'!$C$18</x:f>
        <x:v>3865729.1699352153</x:v>
      </x:c>
      <x:c r="I321" s="11" t="n">
        <x:f>L321*'Summary'!$C$18</x:f>
        <x:v>1448127.227463155</x:v>
      </x:c>
      <x:c r="J321" s="11" t="n">
        <x:f>M321*'Summary'!$C$18</x:f>
        <x:v>89000</x:v>
      </x:c>
      <x:c r="K321" s="12" t="n">
        <x:v>3865.7291699352154</x:v>
      </x:c>
      <x:c r="L321" s="12" t="n">
        <x:v>1448.1272274631551</x:v>
      </x:c>
      <x:c r="M321" s="12" t="n">
        <x:v>89</x:v>
      </x:c>
      <x:c r="N321" s="2" t="str">
        <x:v>2024-03</x:v>
      </x:c>
    </x:row>
    <x:row r="322" ht="22" customHeight="1">
      <x:c r="A322" s="8" t="d">
        <x:v>2024-04-30T00:00:00.000Z</x:v>
      </x:c>
      <x:c r="B322" s="8" t="d">
        <x:v>2024-04-01T00:00:00.000Z</x:v>
      </x:c>
      <x:c r="C322" s="2" t="str">
        <x:v>MU</x:v>
      </x:c>
      <x:c r="D322" s="11" t="n">
        <x:f>316*'Summary'!$C$18</x:f>
        <x:v>316000</x:v>
      </x:c>
      <x:c r="E322" s="2" t="n">
        <x:v>503</x:v>
      </x:c>
      <x:c r="F322" s="2" t="n">
        <x:v>503</x:v>
      </x:c>
      <x:c r="G322" s="9" t="n">
        <x:f>F322/E322</x:f>
        <x:v>1</x:v>
      </x:c>
      <x:c r="H322" s="11" t="n">
        <x:f>K322*'Summary'!$C$18</x:f>
        <x:v>3723535.4653542787</x:v>
      </x:c>
      <x:c r="I322" s="11" t="n">
        <x:f>L322*'Summary'!$C$18</x:f>
        <x:v>1390697.5415696902</x:v>
      </x:c>
      <x:c r="J322" s="11" t="n">
        <x:f>M322*'Summary'!$C$18</x:f>
        <x:v>89000</x:v>
      </x:c>
      <x:c r="K322" s="12" t="n">
        <x:v>3723.5354653542786</x:v>
      </x:c>
      <x:c r="L322" s="12" t="n">
        <x:v>1390.6975415696902</x:v>
      </x:c>
      <x:c r="M322" s="12" t="n">
        <x:v>89</x:v>
      </x:c>
      <x:c r="N322" s="2" t="str">
        <x:v>2024-04</x:v>
      </x:c>
    </x:row>
    <x:row r="323" ht="22" customHeight="1">
      <x:c r="A323" s="8" t="d">
        <x:v>2024-05-31T00:00:00.000Z</x:v>
      </x:c>
      <x:c r="B323" s="8" t="d">
        <x:v>2024-05-01T00:00:00.000Z</x:v>
      </x:c>
      <x:c r="C323" s="2" t="str">
        <x:v>GE</x:v>
      </x:c>
      <x:c r="D323" s="11" t="n">
        <x:f>317*'Summary'!$C$18</x:f>
        <x:v>317000</x:v>
      </x:c>
      <x:c r="E323" s="2" t="n">
        <x:v>503</x:v>
      </x:c>
      <x:c r="F323" s="2" t="n">
        <x:v>503</x:v>
      </x:c>
      <x:c r="G323" s="9" t="n">
        <x:f>F323/E323</x:f>
        <x:v>1</x:v>
      </x:c>
      <x:c r="H323" s="11" t="n">
        <x:f>K323*'Summary'!$C$18</x:f>
        <x:v>4305726.375443729</x:v>
      </x:c>
      <x:c r="I323" s="11" t="n">
        <x:f>L323*'Summary'!$C$18</x:f>
        <x:v>1462090.4034980475</x:v>
      </x:c>
      <x:c r="J323" s="11" t="n">
        <x:f>M323*'Summary'!$C$18</x:f>
        <x:v>89000</x:v>
      </x:c>
      <x:c r="K323" s="12" t="n">
        <x:v>4305.726375443729</x:v>
      </x:c>
      <x:c r="L323" s="12" t="n">
        <x:v>1462.0904034980474</x:v>
      </x:c>
      <x:c r="M323" s="12" t="n">
        <x:v>89</x:v>
      </x:c>
      <x:c r="N323" s="2" t="str">
        <x:v>2024-05</x:v>
      </x:c>
    </x:row>
    <x:row r="324" ht="22" customHeight="1">
      <x:c r="A324" s="8" t="d">
        <x:v>2024-06-28T00:00:00.000Z</x:v>
      </x:c>
      <x:c r="B324" s="8" t="d">
        <x:v>2024-06-03T00:00:00.000Z</x:v>
      </x:c>
      <x:c r="C324" s="2" t="str">
        <x:v>FSLR</x:v>
      </x:c>
      <x:c r="D324" s="11" t="n">
        <x:f>318*'Summary'!$C$18</x:f>
        <x:v>318000</x:v>
      </x:c>
      <x:c r="E324" s="2" t="n">
        <x:v>503</x:v>
      </x:c>
      <x:c r="F324" s="2" t="n">
        <x:v>503</x:v>
      </x:c>
      <x:c r="G324" s="9" t="n">
        <x:f>F324/E324</x:f>
        <x:v>1</x:v>
      </x:c>
      <x:c r="H324" s="11" t="n">
        <x:f>K324*'Summary'!$C$18</x:f>
        <x:v>4635866.702855187</x:v>
      </x:c>
      <x:c r="I324" s="11" t="n">
        <x:f>L324*'Summary'!$C$18</x:f>
        <x:v>1514705.19313684</x:v>
      </x:c>
      <x:c r="J324" s="11" t="n">
        <x:f>M324*'Summary'!$C$18</x:f>
        <x:v>89000</x:v>
      </x:c>
      <x:c r="K324" s="12" t="n">
        <x:v>4635.866702855186</x:v>
      </x:c>
      <x:c r="L324" s="12" t="n">
        <x:v>1514.7051931368399</x:v>
      </x:c>
      <x:c r="M324" s="12" t="n">
        <x:v>89</x:v>
      </x:c>
      <x:c r="N324" s="2" t="str">
        <x:v>2024-06</x:v>
      </x:c>
    </x:row>
    <x:row r="325" ht="22" customHeight="1">
      <x:c r="A325" s="8" t="d">
        <x:v>2024-07-31T00:00:00.000Z</x:v>
      </x:c>
      <x:c r="B325" s="8" t="d">
        <x:v>2024-07-01T00:00:00.000Z</x:v>
      </x:c>
      <x:c r="C325" s="2" t="str">
        <x:v>ADBE</x:v>
      </x:c>
      <x:c r="D325" s="11" t="n">
        <x:f>319*'Summary'!$C$18</x:f>
        <x:v>319000</x:v>
      </x:c>
      <x:c r="E325" s="2" t="n">
        <x:v>503</x:v>
      </x:c>
      <x:c r="F325" s="2" t="n">
        <x:v>503</x:v>
      </x:c>
      <x:c r="G325" s="9" t="n">
        <x:f>F325/E325</x:f>
        <x:v>1</x:v>
      </x:c>
      <x:c r="H325" s="11" t="n">
        <x:f>K325*'Summary'!$C$18</x:f>
        <x:v>4617153.636511473</x:v>
      </x:c>
      <x:c r="I325" s="11" t="n">
        <x:f>L325*'Summary'!$C$18</x:f>
        <x:v>1534056.4390375465</x:v>
      </x:c>
      <x:c r="J325" s="11" t="n">
        <x:f>M325*'Summary'!$C$18</x:f>
        <x:v>89000</x:v>
      </x:c>
      <x:c r="K325" s="12" t="n">
        <x:v>4617.1536365114725</x:v>
      </x:c>
      <x:c r="L325" s="12" t="n">
        <x:v>1534.0564390375466</x:v>
      </x:c>
      <x:c r="M325" s="12" t="n">
        <x:v>89</x:v>
      </x:c>
      <x:c r="N325" s="2" t="str">
        <x:v>2024-07</x:v>
      </x:c>
    </x:row>
    <x:row r="326" ht="22" customHeight="1">
      <x:c r="A326" s="8" t="d">
        <x:v>2024-08-30T00:00:00.000Z</x:v>
      </x:c>
      <x:c r="B326" s="8" t="d">
        <x:v>2024-08-01T00:00:00.000Z</x:v>
      </x:c>
      <x:c r="C326" s="2" t="str">
        <x:v>MHK</x:v>
      </x:c>
      <x:c r="D326" s="11" t="n">
        <x:f>320*'Summary'!$C$18</x:f>
        <x:v>320000</x:v>
      </x:c>
      <x:c r="E326" s="2" t="n">
        <x:v>503</x:v>
      </x:c>
      <x:c r="F326" s="2" t="n">
        <x:v>503</x:v>
      </x:c>
      <x:c r="G326" s="9" t="n">
        <x:f>F326/E326</x:f>
        <x:v>1</x:v>
      </x:c>
      <x:c r="H326" s="11" t="n">
        <x:f>K326*'Summary'!$C$18</x:f>
        <x:v>4705933.379546938</x:v>
      </x:c>
      <x:c r="I326" s="11" t="n">
        <x:f>L326*'Summary'!$C$18</x:f>
        <x:v>1570920.6636622013</x:v>
      </x:c>
      <x:c r="J326" s="11" t="n">
        <x:f>M326*'Summary'!$C$18</x:f>
        <x:v>89000</x:v>
      </x:c>
      <x:c r="K326" s="12" t="n">
        <x:v>4705.933379546938</x:v>
      </x:c>
      <x:c r="L326" s="12" t="n">
        <x:v>1570.9206636622012</x:v>
      </x:c>
      <x:c r="M326" s="12" t="n">
        <x:v>89</x:v>
      </x:c>
      <x:c r="N326" s="2" t="str">
        <x:v>2024-08</x:v>
      </x:c>
    </x:row>
    <x:row r="327" ht="22" customHeight="1">
      <x:c r="A327" s="8" t="d">
        <x:v>2024-09-30T00:00:00.000Z</x:v>
      </x:c>
      <x:c r="B327" s="8" t="d">
        <x:v>2024-09-03T00:00:00.000Z</x:v>
      </x:c>
      <x:c r="C327" s="2" t="str">
        <x:v>K</x:v>
      </x:c>
      <x:c r="D327" s="11" t="n">
        <x:f>321*'Summary'!$C$18</x:f>
        <x:v>321000</x:v>
      </x:c>
      <x:c r="E327" s="2" t="n">
        <x:v>503</x:v>
      </x:c>
      <x:c r="F327" s="2" t="n">
        <x:v>503</x:v>
      </x:c>
      <x:c r="G327" s="9" t="n">
        <x:f>F327/E327</x:f>
        <x:v>1</x:v>
      </x:c>
      <x:c r="H327" s="11" t="n">
        <x:f>K327*'Summary'!$C$18</x:f>
        <x:v>4818232.493995294</x:v>
      </x:c>
      <x:c r="I327" s="11" t="n">
        <x:f>L327*'Summary'!$C$18</x:f>
        <x:v>1604944.151170077</x:v>
      </x:c>
      <x:c r="J327" s="11" t="n">
        <x:f>M327*'Summary'!$C$18</x:f>
        <x:v>89000</x:v>
      </x:c>
      <x:c r="K327" s="12" t="n">
        <x:v>4818.232493995294</x:v>
      </x:c>
      <x:c r="L327" s="12" t="n">
        <x:v>1604.944151170077</x:v>
      </x:c>
      <x:c r="M327" s="12" t="n">
        <x:v>89</x:v>
      </x:c>
      <x:c r="N327" s="2" t="str">
        <x:v>2024-09</x:v>
      </x:c>
    </x:row>
    <x:row r="328" ht="22" customHeight="1">
      <x:c r="A328" s="8" t="d">
        <x:v>2024-10-31T00:00:00.000Z</x:v>
      </x:c>
      <x:c r="B328" s="8" t="d">
        <x:v>2024-10-01T00:00:00.000Z</x:v>
      </x:c>
      <x:c r="C328" s="2" t="str">
        <x:v>VST</x:v>
      </x:c>
      <x:c r="D328" s="11" t="n">
        <x:f>322*'Summary'!$C$18</x:f>
        <x:v>322000</x:v>
      </x:c>
      <x:c r="E328" s="2" t="n">
        <x:v>504</x:v>
      </x:c>
      <x:c r="F328" s="2" t="n">
        <x:v>503</x:v>
      </x:c>
      <x:c r="G328" s="9" t="n">
        <x:f>F328/E328</x:f>
        <x:v>0.998015873015873</x:v>
      </x:c>
      <x:c r="H328" s="11" t="n">
        <x:f>K328*'Summary'!$C$18</x:f>
        <x:v>4868450.279437812</x:v>
      </x:c>
      <x:c r="I328" s="11" t="n">
        <x:f>L328*'Summary'!$C$18</x:f>
        <x:v>1591613.9973147302</x:v>
      </x:c>
      <x:c r="J328" s="11" t="n">
        <x:f>M328*'Summary'!$C$18</x:f>
        <x:v>92000</x:v>
      </x:c>
      <x:c r="K328" s="12" t="n">
        <x:v>4868.450279437812</x:v>
      </x:c>
      <x:c r="L328" s="12" t="n">
        <x:v>1591.61399731473</x:v>
      </x:c>
      <x:c r="M328" s="12" t="n">
        <x:v>92</x:v>
      </x:c>
      <x:c r="N328" s="2" t="str">
        <x:v>2024-10</x:v>
      </x:c>
    </x:row>
    <x:row r="329" ht="22" customHeight="1">
      <x:c r="A329" s="8" t="d">
        <x:v>2024-11-29T00:00:00.000Z</x:v>
      </x:c>
      <x:c r="B329" s="8" t="d">
        <x:v>2024-11-01T00:00:00.000Z</x:v>
      </x:c>
      <x:c r="C329" s="2" t="str">
        <x:v>UAL</x:v>
      </x:c>
      <x:c r="D329" s="11" t="n">
        <x:f>323*'Summary'!$C$18</x:f>
        <x:v>323000</x:v>
      </x:c>
      <x:c r="E329" s="2" t="n">
        <x:v>503</x:v>
      </x:c>
      <x:c r="F329" s="2" t="n">
        <x:v>503</x:v>
      </x:c>
      <x:c r="G329" s="9" t="n">
        <x:f>F329/E329</x:f>
        <x:v>1</x:v>
      </x:c>
      <x:c r="H329" s="11" t="n">
        <x:f>K329*'Summary'!$C$18</x:f>
        <x:v>5151864.955525812</x:v>
      </x:c>
      <x:c r="I329" s="11" t="n">
        <x:f>L329*'Summary'!$C$18</x:f>
        <x:v>1687582.1142235843</x:v>
      </x:c>
      <x:c r="J329" s="11" t="n">
        <x:f>M329*'Summary'!$C$18</x:f>
        <x:v>94000</x:v>
      </x:c>
      <x:c r="K329" s="12" t="n">
        <x:v>5151.864955525812</x:v>
      </x:c>
      <x:c r="L329" s="12" t="n">
        <x:v>1687.5821142235843</x:v>
      </x:c>
      <x:c r="M329" s="12" t="n">
        <x:v>94</x:v>
      </x:c>
      <x:c r="N329" s="2" t="str">
        <x:v>2024-11</x:v>
      </x:c>
    </x:row>
    <x:row r="330" ht="22" customHeight="1">
      <x:c r="A330" s="8" t="d">
        <x:v>2024-12-31T00:00:00.000Z</x:v>
      </x:c>
      <x:c r="B330" s="8" t="d">
        <x:v>2024-12-02T00:00:00.000Z</x:v>
      </x:c>
      <x:c r="C330" s="2" t="str">
        <x:v>PLTR</x:v>
      </x:c>
      <x:c r="D330" s="11" t="n">
        <x:f>324*'Summary'!$C$18</x:f>
        <x:v>324000</x:v>
      </x:c>
      <x:c r="E330" s="2" t="n">
        <x:v>503</x:v>
      </x:c>
      <x:c r="F330" s="2" t="n">
        <x:v>503</x:v>
      </x:c>
      <x:c r="G330" s="9" t="n">
        <x:f>F330/E330</x:f>
        <x:v>1</x:v>
      </x:c>
      <x:c r="H330" s="11" t="n">
        <x:f>K330*'Summary'!$C$18</x:f>
        <x:v>5143352.973122962</x:v>
      </x:c>
      <x:c r="I330" s="11" t="n">
        <x:f>L330*'Summary'!$C$18</x:f>
        <x:v>1647953.9574667201</x:v>
      </x:c>
      <x:c r="J330" s="11" t="n">
        <x:f>M330*'Summary'!$C$18</x:f>
        <x:v>95000</x:v>
      </x:c>
      <x:c r="K330" s="12" t="n">
        <x:v>5143.352973122962</x:v>
      </x:c>
      <x:c r="L330" s="12" t="n">
        <x:v>1647.95395746672</x:v>
      </x:c>
      <x:c r="M330" s="12" t="n">
        <x:v>95</x:v>
      </x:c>
      <x:c r="N330" s="2" t="str">
        <x:v>2024-12</x:v>
      </x:c>
    </x:row>
    <x:row r="331" ht="22" customHeight="1">
      <x:c r="A331" s="8" t="d">
        <x:v>2025-01-31T00:00:00.000Z</x:v>
      </x:c>
      <x:c r="B331" s="8" t="d">
        <x:v>2025-01-02T00:00:00.000Z</x:v>
      </x:c>
      <x:c r="C331" s="2" t="str">
        <x:v>AVGO</x:v>
      </x:c>
      <x:c r="D331" s="11" t="n">
        <x:f>325*'Summary'!$C$18</x:f>
        <x:v>325000</x:v>
      </x:c>
      <x:c r="E331" s="2" t="n">
        <x:v>503</x:v>
      </x:c>
      <x:c r="F331" s="2" t="n">
        <x:v>503</x:v>
      </x:c>
      <x:c r="G331" s="9" t="n">
        <x:f>F331/E331</x:f>
        <x:v>1</x:v>
      </x:c>
      <x:c r="H331" s="11" t="n">
        <x:f>K331*'Summary'!$C$18</x:f>
        <x:v>4905144.741377185</x:v>
      </x:c>
      <x:c r="I331" s="11" t="n">
        <x:f>L331*'Summary'!$C$18</x:f>
        <x:v>1693233.132028703</x:v>
      </x:c>
      <x:c r="J331" s="11" t="n">
        <x:f>M331*'Summary'!$C$18</x:f>
        <x:v>95000</x:v>
      </x:c>
      <x:c r="K331" s="12" t="n">
        <x:v>4905.144741377185</x:v>
      </x:c>
      <x:c r="L331" s="12" t="n">
        <x:v>1693.233132028703</x:v>
      </x:c>
      <x:c r="M331" s="12" t="n">
        <x:v>95</x:v>
      </x:c>
      <x:c r="N331" s="2" t="str">
        <x:v>2025-01</x:v>
      </x:c>
    </x:row>
    <x:row r="332" ht="22" customHeight="1">
      <x:c r="A332" s="8" t="d">
        <x:v>2025-02-28T00:00:00.000Z</x:v>
      </x:c>
      <x:c r="B332" s="8" t="d">
        <x:v>2025-02-03T00:00:00.000Z</x:v>
      </x:c>
      <x:c r="C332" s="2" t="str">
        <x:v>CEG</x:v>
      </x:c>
      <x:c r="D332" s="11" t="n">
        <x:f>326*'Summary'!$C$18</x:f>
        <x:v>326000</x:v>
      </x:c>
      <x:c r="E332" s="2" t="n">
        <x:v>503</x:v>
      </x:c>
      <x:c r="F332" s="2" t="n">
        <x:v>503</x:v>
      </x:c>
      <x:c r="G332" s="9" t="n">
        <x:f>F332/E332</x:f>
        <x:v>1</x:v>
      </x:c>
      <x:c r="H332" s="11" t="n">
        <x:f>K332*'Summary'!$C$18</x:f>
        <x:v>4966982.742334321</x:v>
      </x:c>
      <x:c r="I332" s="11" t="n">
        <x:f>L332*'Summary'!$C$18</x:f>
        <x:v>1672740.3394115686</x:v>
      </x:c>
      <x:c r="J332" s="11" t="n">
        <x:f>M332*'Summary'!$C$18</x:f>
        <x:v>95000</x:v>
      </x:c>
      <x:c r="K332" s="12" t="n">
        <x:v>4966.982742334321</x:v>
      </x:c>
      <x:c r="L332" s="12" t="n">
        <x:v>1672.7403394115686</x:v>
      </x:c>
      <x:c r="M332" s="12" t="n">
        <x:v>95</x:v>
      </x:c>
      <x:c r="N332" s="2" t="str">
        <x:v>2025-02</x:v>
      </x:c>
    </x:row>
    <x:row r="333" ht="22" customHeight="1">
      <x:c r="A333" s="8" t="d">
        <x:v>2025-03-31T00:00:00.000Z</x:v>
      </x:c>
      <x:c r="B333" s="8" t="d">
        <x:v>2025-03-03T00:00:00.000Z</x:v>
      </x:c>
      <x:c r="C333" s="2" t="str">
        <x:v>SMCI</x:v>
      </x:c>
      <x:c r="D333" s="11" t="n">
        <x:f>327*'Summary'!$C$18</x:f>
        <x:v>327000</x:v>
      </x:c>
      <x:c r="E333" s="2" t="n">
        <x:v>503</x:v>
      </x:c>
      <x:c r="F333" s="2" t="n">
        <x:v>503</x:v>
      </x:c>
      <x:c r="G333" s="9" t="n">
        <x:f>F333/E333</x:f>
        <x:v>1</x:v>
      </x:c>
      <x:c r="H333" s="11" t="n">
        <x:f>K333*'Summary'!$C$18</x:f>
        <x:v>4520787.770636015</x:v>
      </x:c>
      <x:c r="I333" s="11" t="n">
        <x:f>L333*'Summary'!$C$18</x:f>
        <x:v>1580477.720951505</x:v>
      </x:c>
      <x:c r="J333" s="11" t="n">
        <x:f>M333*'Summary'!$C$18</x:f>
        <x:v>95000</x:v>
      </x:c>
      <x:c r="K333" s="12" t="n">
        <x:v>4520.787770636015</x:v>
      </x:c>
      <x:c r="L333" s="12" t="n">
        <x:v>1580.477720951505</x:v>
      </x:c>
      <x:c r="M333" s="12" t="n">
        <x:v>95</x:v>
      </x:c>
      <x:c r="N333" s="2" t="str">
        <x:v>2025-03</x:v>
      </x:c>
    </x:row>
    <x:row r="334" ht="22" customHeight="1">
      <x:c r="A334" s="8" t="d">
        <x:v>2025-04-30T00:00:00.000Z</x:v>
      </x:c>
      <x:c r="B334" s="8" t="d">
        <x:v>2025-04-01T00:00:00.000Z</x:v>
      </x:c>
      <x:c r="C334" s="2" t="str">
        <x:v>DG</x:v>
      </x:c>
      <x:c r="D334" s="11" t="n">
        <x:f>328*'Summary'!$C$18</x:f>
        <x:v>328000</x:v>
      </x:c>
      <x:c r="E334" s="2" t="n">
        <x:v>503</x:v>
      </x:c>
      <x:c r="F334" s="2" t="n">
        <x:v>503</x:v>
      </x:c>
      <x:c r="G334" s="9" t="n">
        <x:f>F334/E334</x:f>
        <x:v>1</x:v>
      </x:c>
      <x:c r="H334" s="11" t="n">
        <x:f>K334*'Summary'!$C$18</x:f>
        <x:v>4475792.879192382</x:v>
      </x:c>
      <x:c r="I334" s="11" t="n">
        <x:f>L334*'Summary'!$C$18</x:f>
        <x:v>1567769.4051327975</x:v>
      </x:c>
      <x:c r="J334" s="11" t="n">
        <x:f>M334*'Summary'!$C$18</x:f>
        <x:v>95000</x:v>
      </x:c>
      <x:c r="K334" s="12" t="n">
        <x:v>4475.792879192382</x:v>
      </x:c>
      <x:c r="L334" s="12" t="n">
        <x:v>1567.7694051327976</x:v>
      </x:c>
      <x:c r="M334" s="12" t="n">
        <x:v>95</x:v>
      </x:c>
      <x:c r="N334" s="2" t="str">
        <x:v>2025-04</x:v>
      </x:c>
    </x:row>
    <x:row r="335" ht="22" customHeight="1">
      <x:c r="A335" s="8" t="d">
        <x:v>2025-05-30T00:00:00.000Z</x:v>
      </x:c>
      <x:c r="B335" s="8" t="d">
        <x:v>2025-05-01T00:00:00.000Z</x:v>
      </x:c>
      <x:c r="C335" s="2" t="str">
        <x:v>PLTR</x:v>
      </x:c>
      <x:c r="D335" s="11" t="n">
        <x:f>329*'Summary'!$C$18</x:f>
        <x:v>329000</x:v>
      </x:c>
      <x:c r="E335" s="2" t="n">
        <x:v>503</x:v>
      </x:c>
      <x:c r="F335" s="2" t="n">
        <x:v>503</x:v>
      </x:c>
      <x:c r="G335" s="9" t="n">
        <x:f>F335/E335</x:f>
        <x:v>1</x:v>
      </x:c>
      <x:c r="H335" s="11" t="n">
        <x:f>K335*'Summary'!$C$18</x:f>
        <x:v>4846785.830829496</x:v>
      </x:c>
      <x:c r="I335" s="11" t="n">
        <x:f>L335*'Summary'!$C$18</x:f>
        <x:v>1667347.5806449715</x:v>
      </x:c>
      <x:c r="J335" s="11" t="n">
        <x:f>M335*'Summary'!$C$18</x:f>
        <x:v>95000</x:v>
      </x:c>
      <x:c r="K335" s="12" t="n">
        <x:v>4846.785830829495</x:v>
      </x:c>
      <x:c r="L335" s="12" t="n">
        <x:v>1667.3475806449715</x:v>
      </x:c>
      <x:c r="M335" s="12" t="n">
        <x:v>95</x:v>
      </x:c>
      <x:c r="N335" s="2" t="str">
        <x:v>2025-05</x:v>
      </x:c>
    </x:row>
    <x:row r="336" ht="22" customHeight="1">
      <x:c r="A336" s="8" t="d">
        <x:v>2025-06-30T00:00:00.000Z</x:v>
      </x:c>
      <x:c r="B336" s="8" t="d">
        <x:v>2025-06-02T00:00:00.000Z</x:v>
      </x:c>
      <x:c r="C336" s="2" t="str">
        <x:v>NRG</x:v>
      </x:c>
      <x:c r="D336" s="11" t="n">
        <x:f>330*'Summary'!$C$18</x:f>
        <x:v>330000</x:v>
      </x:c>
      <x:c r="E336" s="2" t="n">
        <x:v>503</x:v>
      </x:c>
      <x:c r="F336" s="2" t="n">
        <x:v>503</x:v>
      </x:c>
      <x:c r="G336" s="9" t="n">
        <x:f>F336/E336</x:f>
        <x:v>1</x:v>
      </x:c>
      <x:c r="H336" s="11" t="n">
        <x:f>K336*'Summary'!$C$18</x:f>
        <x:v>5309846.886866892</x:v>
      </x:c>
      <x:c r="I336" s="11" t="n">
        <x:f>L336*'Summary'!$C$18</x:f>
        <x:v>1754080.5150631634</x:v>
      </x:c>
      <x:c r="J336" s="11" t="n">
        <x:f>M336*'Summary'!$C$18</x:f>
        <x:v>97000</x:v>
      </x:c>
      <x:c r="K336" s="12" t="n">
        <x:v>5309.8468868668915</x:v>
      </x:c>
      <x:c r="L336" s="12" t="n">
        <x:v>1754.0805150631634</x:v>
      </x:c>
      <x:c r="M336" s="12" t="n">
        <x:v>97</x:v>
      </x:c>
      <x:c r="N336" s="2" t="str">
        <x:v>2025-06</x:v>
      </x:c>
    </x:row>
    <x:row r="337" ht="22" customHeight="1">
      <x:c r="A337" s="8" t="d">
        <x:v>2025-07-31T00:00:00.000Z</x:v>
      </x:c>
      <x:c r="B337" s="8" t="d">
        <x:v>2025-07-01T00:00:00.000Z</x:v>
      </x:c>
      <x:c r="C337" s="2" t="str">
        <x:v>COIN</x:v>
      </x:c>
      <x:c r="D337" s="11" t="n">
        <x:f>331*'Summary'!$C$18</x:f>
        <x:v>331000</x:v>
      </x:c>
      <x:c r="E337" s="2" t="n">
        <x:v>503</x:v>
      </x:c>
      <x:c r="F337" s="2" t="n">
        <x:v>503</x:v>
      </x:c>
      <x:c r="G337" s="9" t="n">
        <x:f>F337/E337</x:f>
        <x:v>1</x:v>
      </x:c>
      <x:c r="H337" s="11" t="n">
        <x:f>K337*'Summary'!$C$18</x:f>
        <x:v>5611448.1221595025</x:v>
      </x:c>
      <x:c r="I337" s="11" t="n">
        <x:f>L337*'Summary'!$C$18</x:f>
        <x:v>1795505.209649902</x:v>
      </x:c>
      <x:c r="J337" s="11" t="n">
        <x:f>M337*'Summary'!$C$18</x:f>
        <x:v>100000</x:v>
      </x:c>
      <x:c r="K337" s="12" t="n">
        <x:v>5611.448122159502</x:v>
      </x:c>
      <x:c r="L337" s="12" t="n">
        <x:v>1795.505209649902</x:v>
      </x:c>
      <x:c r="M337" s="12" t="n">
        <x:v>100</x:v>
      </x:c>
      <x:c r="N337" s="2" t="str">
        <x:v>2025-07</x:v>
      </x:c>
    </x:row>
    <x:row r="338" ht="22" customHeight="1">
      <x:c r="A338" s="8" t="d">
        <x:v>2025-08-29T00:00:00.000Z</x:v>
      </x:c>
      <x:c r="B338" s="8" t="d">
        <x:v>2025-08-01T00:00:00.000Z</x:v>
      </x:c>
      <x:c r="C338" s="2" t="str">
        <x:v>GNRC</x:v>
      </x:c>
      <x:c r="D338" s="11" t="n">
        <x:f>332*'Summary'!$C$18</x:f>
        <x:v>332000</x:v>
      </x:c>
      <x:c r="E338" s="2" t="n">
        <x:v>503</x:v>
      </x:c>
      <x:c r="F338" s="2" t="n">
        <x:v>503</x:v>
      </x:c>
      <x:c r="G338" s="9" t="n">
        <x:f>F338/E338</x:f>
        <x:v>1</x:v>
      </x:c>
      <x:c r="H338" s="11" t="n">
        <x:f>K338*'Summary'!$C$18</x:f>
        <x:v>5818321.259539486</x:v>
      </x:c>
      <x:c r="I338" s="11" t="n">
        <x:f>L338*'Summary'!$C$18</x:f>
        <x:v>1833378.0301443452</x:v>
      </x:c>
      <x:c r="J338" s="11" t="n">
        <x:f>M338*'Summary'!$C$18</x:f>
        <x:v>100000</x:v>
      </x:c>
      <x:c r="K338" s="12" t="n">
        <x:v>5818.321259539486</x:v>
      </x:c>
      <x:c r="L338" s="12" t="n">
        <x:v>1833.3780301443453</x:v>
      </x:c>
      <x:c r="M338" s="12" t="n">
        <x:v>100</x:v>
      </x:c>
      <x:c r="N338" s="2" t="str">
        <x:v>2025-08</x:v>
      </x:c>
    </x:row>
    <x:row r="339" ht="22" customHeight="1">
      <x:c r="A339" s="8" t="d">
        <x:v>2025-09-30T00:00:00.000Z</x:v>
      </x:c>
      <x:c r="B339" s="8" t="d">
        <x:v>2025-09-02T00:00:00.000Z</x:v>
      </x:c>
      <x:c r="C339" s="2" t="str">
        <x:v>ALB</x:v>
      </x:c>
      <x:c r="D339" s="11" t="n">
        <x:f>333*'Summary'!$C$18</x:f>
        <x:v>333000</x:v>
      </x:c>
      <x:c r="E339" s="2" t="n">
        <x:v>503</x:v>
      </x:c>
      <x:c r="F339" s="2" t="n">
        <x:v>503</x:v>
      </x:c>
      <x:c r="G339" s="9" t="n">
        <x:f>F339/E339</x:f>
        <x:v>1</x:v>
      </x:c>
      <x:c r="H339" s="11" t="n">
        <x:f>K339*'Summary'!$C$18</x:f>
        <x:v>6222524.489877716</x:v>
      </x:c>
      <x:c r="I339" s="11" t="n">
        <x:f>L339*'Summary'!$C$18</x:f>
        <x:v>1899731.6043189175</x:v>
      </x:c>
      <x:c r="J339" s="11" t="n">
        <x:f>M339*'Summary'!$C$18</x:f>
        <x:v>101000</x:v>
      </x:c>
      <x:c r="K339" s="12" t="n">
        <x:v>6222.5244898777155</x:v>
      </x:c>
      <x:c r="L339" s="12" t="n">
        <x:v>1899.7316043189176</x:v>
      </x:c>
      <x:c r="M339" s="12" t="n">
        <x:v>101</x:v>
      </x:c>
      <x:c r="N339" s="2" t="str">
        <x:v>2025-09</x:v>
      </x:c>
    </x:row>
    <x:row r="340" ht="22" customHeight="1">
      <x:c r="A340" s="8" t="d">
        <x:v>2025-10-31T00:00:00.000Z</x:v>
      </x:c>
      <x:c r="B340" s="8" t="d">
        <x:v>2025-10-01T00:00:00.000Z</x:v>
      </x:c>
      <x:c r="C340" s="2" t="str">
        <x:v>WBD</x:v>
      </x:c>
      <x:c r="D340" s="11" t="n">
        <x:f>334*'Summary'!$C$18</x:f>
        <x:v>334000</x:v>
      </x:c>
      <x:c r="E340" s="2" t="n">
        <x:v>503</x:v>
      </x:c>
      <x:c r="F340" s="2" t="n">
        <x:v>503</x:v>
      </x:c>
      <x:c r="G340" s="9" t="n">
        <x:f>F340/E340</x:f>
        <x:v>1</x:v>
      </x:c>
      <x:c r="H340" s="11" t="n">
        <x:f>K340*'Summary'!$C$18</x:f>
        <x:v>6642628.9457433205</x:v>
      </x:c>
      <x:c r="I340" s="11" t="n">
        <x:f>L340*'Summary'!$C$18</x:f>
        <x:v>1946044.7677830285</x:v>
      </x:c>
      <x:c r="J340" s="11" t="n">
        <x:f>M340*'Summary'!$C$18</x:f>
        <x:v>101000</x:v>
      </x:c>
      <x:c r="K340" s="12" t="n">
        <x:v>6642.62894574332</x:v>
      </x:c>
      <x:c r="L340" s="12" t="n">
        <x:v>1946.0447677830286</x:v>
      </x:c>
      <x:c r="M340" s="12" t="n">
        <x:v>101</x:v>
      </x:c>
      <x:c r="N340" s="2" t="str">
        <x:v>2025-10</x:v>
      </x:c>
    </x:row>
    <x:row r="341" ht="22" customHeight="1">
      <x:c r="A341" s="8" t="d">
        <x:v>2025-11-28T00:00:00.000Z</x:v>
      </x:c>
      <x:c r="B341" s="8" t="d">
        <x:v>2025-11-03T00:00:00.000Z</x:v>
      </x:c>
      <x:c r="C341" s="2" t="str">
        <x:v>AMD</x:v>
      </x:c>
      <x:c r="D341" s="11" t="n">
        <x:f>335*'Summary'!$C$18</x:f>
        <x:v>335000</x:v>
      </x:c>
      <x:c r="E341" s="2" t="n">
        <x:v>503</x:v>
      </x:c>
      <x:c r="F341" s="2" t="n">
        <x:v>502</x:v>
      </x:c>
      <x:c r="G341" s="9" t="n">
        <x:f>F341/E341</x:f>
        <x:v>0.9980119284294234</x:v>
      </x:c>
      <x:c r="H341" s="11" t="n">
        <x:f>K341*'Summary'!$C$18</x:f>
        <x:v>6364197.549141245</x:v>
      </x:c>
      <x:c r="I341" s="11" t="n">
        <x:f>L341*'Summary'!$C$18</x:f>
        <x:v>1950836.2301833925</x:v>
      </x:c>
      <x:c r="J341" s="11" t="n">
        <x:f>M341*'Summary'!$C$18</x:f>
        <x:v>101000</x:v>
      </x:c>
      <x:c r="K341" s="12" t="n">
        <x:v>6364.197549141245</x:v>
      </x:c>
      <x:c r="L341" s="12" t="n">
        <x:v>1950.8362301833924</x:v>
      </x:c>
      <x:c r="M341" s="12" t="n">
        <x:v>101</x:v>
      </x:c>
      <x:c r="N341" s="2" t="str">
        <x:v>2025-11</x:v>
      </x:c>
    </x:row>
    <x:row r="342" ht="22" customHeight="1">
      <x:c r="A342" s="8" t="d">
        <x:v>2025-12-31T00:00:00.000Z</x:v>
      </x:c>
      <x:c r="B342" s="8" t="d">
        <x:v>2025-12-01T00:00:00.000Z</x:v>
      </x:c>
      <x:c r="C342" s="2" t="str">
        <x:v>ALB</x:v>
      </x:c>
      <x:c r="D342" s="11" t="n">
        <x:f>336*'Summary'!$C$18</x:f>
        <x:v>336000</x:v>
      </x:c>
      <x:c r="E342" s="2" t="n">
        <x:v>503</x:v>
      </x:c>
      <x:c r="F342" s="2" t="n">
        <x:v>503</x:v>
      </x:c>
      <x:c r="G342" s="9" t="n">
        <x:f>F342/E342</x:f>
        <x:v>1</x:v>
      </x:c>
      <x:c r="H342" s="11" t="n">
        <x:f>K342*'Summary'!$C$18</x:f>
        <x:v>6419572.100521803</x:v>
      </x:c>
      <x:c r="I342" s="11" t="n">
        <x:f>L342*'Summary'!$C$18</x:f>
        <x:v>1953399.4519815862</x:v>
      </x:c>
      <x:c r="J342" s="11" t="n">
        <x:f>M342*'Summary'!$C$18</x:f>
        <x:v>102000</x:v>
      </x:c>
      <x:c r="K342" s="12" t="n">
        <x:v>6419.572100521803</x:v>
      </x:c>
      <x:c r="L342" s="12" t="n">
        <x:v>1953.3994519815863</x:v>
      </x:c>
      <x:c r="M342" s="12" t="n">
        <x:v>102</x:v>
      </x:c>
      <x:c r="N342" s="2" t="str">
        <x:v>2025-12</x:v>
      </x:c>
    </x:row>
    <x:row r="343" ht="22" customHeight="1">
      <x:c r="A343" s="8" t="d">
        <x:v>2026-01-30T00:00:00.000Z</x:v>
      </x:c>
      <x:c r="B343" s="8" t="d">
        <x:v>2026-01-02T00:00:00.000Z</x:v>
      </x:c>
      <x:c r="C343" s="2" t="str">
        <x:v>DG</x:v>
      </x:c>
      <x:c r="D343" s="11" t="n">
        <x:f>337*'Summary'!$C$18</x:f>
        <x:v>337000</x:v>
      </x:c>
      <x:c r="E343" s="2" t="n">
        <x:v>503</x:v>
      </x:c>
      <x:c r="F343" s="2" t="n">
        <x:v>503</x:v>
      </x:c>
      <x:c r="G343" s="9" t="n">
        <x:f>F343/E343</x:f>
        <x:v>1</x:v>
      </x:c>
      <x:c r="H343" s="11" t="n">
        <x:f>K343*'Summary'!$C$18</x:f>
        <x:v>6439809.213912329</x:v>
      </x:c>
      <x:c r="I343" s="11" t="n">
        <x:f>L343*'Summary'!$C$18</x:f>
        <x:v>1983197.3556773157</x:v>
      </x:c>
      <x:c r="J343" s="11" t="n">
        <x:f>M343*'Summary'!$C$18</x:f>
        <x:v>102000</x:v>
      </x:c>
      <x:c r="K343" s="12" t="n">
        <x:v>6439.809213912329</x:v>
      </x:c>
      <x:c r="L343" s="12" t="n">
        <x:v>1983.1973556773157</x:v>
      </x:c>
      <x:c r="M343" s="12" t="n">
        <x:v>102</x:v>
      </x:c>
      <x:c r="N343" s="2" t="str">
        <x:v>2026-01</x:v>
      </x:c>
    </x:row>
    <x:row r="344" ht="22" customHeight="1">
      <x:c r="A344" s="8" t="d">
        <x:v>2026-02-27T00:00:00.000Z</x:v>
      </x:c>
      <x:c r="B344" s="8" t="d">
        <x:v>2026-02-02T00:00:00.000Z</x:v>
      </x:c>
      <x:c r="C344" s="2" t="str">
        <x:v>SNDK</x:v>
      </x:c>
      <x:c r="D344" s="11" t="n">
        <x:f>338*'Summary'!$C$18</x:f>
        <x:v>338000</x:v>
      </x:c>
      <x:c r="E344" s="2" t="n">
        <x:v>503</x:v>
      </x:c>
      <x:c r="F344" s="2" t="n">
        <x:v>503</x:v>
      </x:c>
      <x:c r="G344" s="9" t="n">
        <x:f>F344/E344</x:f>
        <x:v>1</x:v>
      </x:c>
      <x:c r="H344" s="11" t="n">
        <x:f>K344*'Summary'!$C$18</x:f>
        <x:v>6349535.86573072</x:v>
      </x:c>
      <x:c r="I344" s="11" t="n">
        <x:f>L344*'Summary'!$C$18</x:f>
        <x:v>1967053.4268599418</x:v>
      </x:c>
      <x:c r="J344" s="11" t="n">
        <x:f>M344*'Summary'!$C$18</x:f>
        <x:v>102000</x:v>
      </x:c>
      <x:c r="K344" s="12" t="n">
        <x:v>6349.53586573072</x:v>
      </x:c>
      <x:c r="L344" s="12" t="n">
        <x:v>1967.0534268599417</x:v>
      </x:c>
      <x:c r="M344" s="12" t="n">
        <x:v>102</x:v>
      </x:c>
      <x:c r="N344" s="2" t="str">
        <x:v>2026-02</x:v>
      </x:c>
    </x:row>
    <x:row r="345" ht="22" customHeight="1">
      <x:c r="A345" s="8" t="d">
        <x:v>2026-03-31T00:00:00.000Z</x:v>
      </x:c>
      <x:c r="B345" s="8" t="d">
        <x:v>2026-03-02T00:00:00.000Z</x:v>
      </x:c>
      <x:c r="C345" s="2" t="str">
        <x:v>TPL</x:v>
      </x:c>
      <x:c r="D345" s="11" t="n">
        <x:f>339*'Summary'!$C$18</x:f>
        <x:v>339000</x:v>
      </x:c>
      <x:c r="E345" s="2" t="n">
        <x:v>503</x:v>
      </x:c>
      <x:c r="F345" s="2" t="n">
        <x:v>503</x:v>
      </x:c>
      <x:c r="G345" s="9" t="n">
        <x:f>F345/E345</x:f>
        <x:v>1</x:v>
      </x:c>
      <x:c r="H345" s="11" t="n">
        <x:f>K345*'Summary'!$C$18</x:f>
        <x:v>6112469.393626187</x:v>
      </x:c>
      <x:c r="I345" s="11" t="n">
        <x:f>L345*'Summary'!$C$18</x:f>
        <x:v>1870882.0052835345</x:v>
      </x:c>
      <x:c r="J345" s="11" t="n">
        <x:f>M345*'Summary'!$C$18</x:f>
        <x:v>106000</x:v>
      </x:c>
      <x:c r="K345" s="12" t="n">
        <x:v>6112.469393626187</x:v>
      </x:c>
      <x:c r="L345" s="12" t="n">
        <x:v>1870.8820052835345</x:v>
      </x:c>
      <x:c r="M345" s="12" t="n">
        <x:v>106</x:v>
      </x:c>
      <x:c r="N345" s="2" t="str">
        <x:v>2026-03</x:v>
      </x:c>
    </x:row>
    <x:row r="346" ht="22" customHeight="1">
      <x:c r="A346" s="8" t="d">
        <x:v>2026-04-30T00:00:00.000Z</x:v>
      </x:c>
      <x:c r="B346" s="8" t="d">
        <x:v>2026-04-01T00:00:00.000Z</x:v>
      </x:c>
      <x:c r="C346" s="2" t="str">
        <x:v>LYB</x:v>
      </x:c>
      <x:c r="D346" s="11" t="n">
        <x:f>340*'Summary'!$C$18</x:f>
        <x:v>340000</x:v>
      </x:c>
      <x:c r="E346" s="2" t="n">
        <x:v>503</x:v>
      </x:c>
      <x:c r="F346" s="2" t="n">
        <x:v>503</x:v>
      </x:c>
      <x:c r="G346" s="9" t="n">
        <x:f>F346/E346</x:f>
        <x:v>1</x:v>
      </x:c>
      <x:c r="H346" s="11" t="n">
        <x:f>K346*'Summary'!$C$18</x:f>
        <x:v>6870510.409831233</x:v>
      </x:c>
      <x:c r="I346" s="11" t="n">
        <x:f>L346*'Summary'!$C$18</x:f>
        <x:v>2068522.1630669707</x:v>
      </x:c>
      <x:c r="J346" s="11" t="n">
        <x:f>M346*'Summary'!$C$18</x:f>
        <x:v>107000</x:v>
      </x:c>
      <x:c r="K346" s="12" t="n">
        <x:v>6870.510409831233</x:v>
      </x:c>
      <x:c r="L346" s="12" t="n">
        <x:v>2068.5221630669707</x:v>
      </x:c>
      <x:c r="M346" s="12" t="n">
        <x:v>107</x:v>
      </x:c>
      <x:c r="N346" s="2" t="str">
        <x:v>2026-04</x:v>
      </x:c>
    </x:row>
    <x:row r="347" ht="22" customHeight="1">
      <x:c r="A347" s="8" t="d">
        <x:v>2026-05-29T00:00:00.000Z</x:v>
      </x:c>
      <x:c r="B347" s="8" t="d">
        <x:v>2026-05-01T00:00:00.000Z</x:v>
      </x:c>
      <x:c r="C347" s="2" t="str">
        <x:v>INTC</x:v>
      </x:c>
      <x:c r="D347" s="11" t="n">
        <x:f>341*'Summary'!$C$18</x:f>
        <x:v>341000</x:v>
      </x:c>
      <x:c r="E347" s="2" t="n">
        <x:v>503</x:v>
      </x:c>
      <x:c r="F347" s="2" t="n">
        <x:v>503</x:v>
      </x:c>
      <x:c r="G347" s="9" t="n">
        <x:f>F347/E347</x:f>
        <x:v>1</x:v>
      </x:c>
      <x:c r="H347" s="11" t="n">
        <x:f>K347*'Summary'!$C$18</x:f>
        <x:v>7713345.210281743</x:v>
      </x:c>
      <x:c r="I347" s="11" t="n">
        <x:f>L347*'Summary'!$C$18</x:f>
        <x:v>2178428.5022968706</x:v>
      </x:c>
      <x:c r="J347" s="11" t="n">
        <x:f>M347*'Summary'!$C$18</x:f>
        <x:v>108000</x:v>
      </x:c>
      <x:c r="K347" s="12" t="n">
        <x:v>7713.345210281743</x:v>
      </x:c>
      <x:c r="L347" s="12" t="n">
        <x:v>2178.4285022968706</x:v>
      </x:c>
      <x:c r="M347" s="12" t="n">
        <x:v>108</x:v>
      </x:c>
      <x:c r="N347" s="2" t="str">
        <x:v>2026-05</x:v>
      </x:c>
    </x:row>
    <x:row r="348" ht="22" customHeight="1">
      <x:c r="A348" s="8" t="d">
        <x:v>2026-06-30T00:00:00.000Z</x:v>
      </x:c>
      <x:c r="B348" s="8" t="d">
        <x:v>2026-06-01T00:00:00.000Z</x:v>
      </x:c>
      <x:c r="C348" s="2" t="str">
        <x:v>DELL</x:v>
      </x:c>
      <x:c r="D348" s="11" t="n">
        <x:f>342*'Summary'!$C$18</x:f>
        <x:v>342000</x:v>
      </x:c>
      <x:c r="E348" s="2" t="n">
        <x:v>503</x:v>
      </x:c>
      <x:c r="F348" s="2" t="n">
        <x:v>503</x:v>
      </x:c>
      <x:c r="G348" s="9" t="n">
        <x:f>F348/E348</x:f>
        <x:v>1</x:v>
      </x:c>
      <x:c r="H348" s="11" t="n">
        <x:f>K348*'Summary'!$C$18</x:f>
        <x:v>7443695.500350866</x:v>
      </x:c>
      <x:c r="I348" s="11" t="n">
        <x:f>L348*'Summary'!$C$18</x:f>
        <x:v>2156998.1515470133</x:v>
      </x:c>
      <x:c r="J348" s="11" t="n">
        <x:f>M348*'Summary'!$C$18</x:f>
        <x:v>108000</x:v>
      </x:c>
      <x:c r="K348" s="12" t="n">
        <x:v>7443.695500350866</x:v>
      </x:c>
      <x:c r="L348" s="12" t="n">
        <x:v>2156.998151547013</x:v>
      </x:c>
      <x:c r="M348" s="12" t="n">
        <x:v>108</x:v>
      </x:c>
      <x:c r="N348" s="2" t="str">
        <x:v>2026-06</x:v>
      </x:c>
    </x:row>
    <x:row r="349" ht="22" customHeight="1">
      <x:c r="A349" s="8" t="d">
        <x:v>2026-07-31T00:00:00.000Z</x:v>
      </x:c>
      <x:c r="B349" s="8" t="d">
        <x:v>2026-07-01T00:00:00.000Z</x:v>
      </x:c>
      <x:c r="C349" s="2" t="str">
        <x:v>AMAT</x:v>
      </x:c>
      <x:c r="D349" s="11" t="n">
        <x:f>343*'Summary'!$C$18</x:f>
        <x:v>343000</x:v>
      </x:c>
      <x:c r="E349" s="2" t="n">
        <x:v>503</x:v>
      </x:c>
      <x:c r="F349" s="2" t="n">
        <x:v>502</x:v>
      </x:c>
      <x:c r="G349" s="9" t="n">
        <x:f>F349/E349</x:f>
        <x:v>0.9980119284294234</x:v>
      </x:c>
      <x:c r="H349" s="11" t="n">
        <x:f>K349*'Summary'!$C$18</x:f>
        <x:v>7404358.5593190575</x:v>
      </x:c>
      <x:c r="I349" s="11" t="n">
        <x:f>L349*'Summary'!$C$18</x:f>
        <x:v>2158751.898245226</x:v>
      </x:c>
      <x:c r="J349" s="11" t="n">
        <x:f>M349*'Summary'!$C$18</x:f>
        <x:v>108000</x:v>
      </x:c>
      <x:c r="K349" s="12" t="n">
        <x:v>7404.358559319057</x:v>
      </x:c>
      <x:c r="L349" s="12" t="n">
        <x:v>2158.751898245226</x:v>
      </x:c>
      <x:c r="M349" s="12" t="n">
        <x:v>108</x:v>
      </x:c>
      <x:c r="N349" s="2" t="str">
        <x:v>2026-07</x:v>
      </x:c>
    </x:row>
    <x:row r="350" ht="22" customHeight="1">
      <x:c r="A350" s="8" t="d">
        <x:v>2026-08-31T00:00:00.000Z</x:v>
      </x:c>
      <x:c r="B350" s="8" t="d">
        <x:v>2026-08-03T00:00:00.000Z</x:v>
      </x:c>
      <x:c r="C350" s="2" t="str">
        <x:v>CTSH</x:v>
      </x:c>
      <x:c r="D350" s="11" t="n">
        <x:f>344*'Summary'!$C$18</x:f>
        <x:v>344000</x:v>
      </x:c>
      <x:c r="E350" s="2" t="n">
        <x:v>503</x:v>
      </x:c>
      <x:c r="F350" s="2" t="n">
        <x:v>503</x:v>
      </x:c>
      <x:c r="G350" s="9" t="n">
        <x:f>F350/E350</x:f>
        <x:v>1</x:v>
      </x:c>
      <x:c r="H350" s="11" t="n">
        <x:f>K350*'Summary'!$C$18</x:f>
        <x:v>7845304.79665499</x:v>
      </x:c>
      <x:c r="I350" s="11" t="n">
        <x:f>L350*'Summary'!$C$18</x:f>
        <x:v>2217628.6569651305</x:v>
      </x:c>
      <x:c r="J350" s="11" t="n">
        <x:f>M350*'Summary'!$C$18</x:f>
        <x:v>108000</x:v>
      </x:c>
      <x:c r="K350" s="12" t="n">
        <x:v>7845.30479665499</x:v>
      </x:c>
      <x:c r="L350" s="12" t="n">
        <x:v>2217.6286569651306</x:v>
      </x:c>
      <x:c r="M350" s="12" t="n">
        <x:v>108</x:v>
      </x:c>
      <x:c r="N350" s="2" t="str">
        <x:v>2026-08</x:v>
      </x:c>
    </x:row>
    <x:row r="351" ht="22" customHeight="1">
      <x:c r="A351" s="8" t="d">
        <x:v>2026-09-30T00:00:00.000Z</x:v>
      </x:c>
      <x:c r="B351" s="8" t="d">
        <x:v>2026-09-01T00:00:00.000Z</x:v>
      </x:c>
      <x:c r="C351" s="2" t="str">
        <x:v>MRNA</x:v>
      </x:c>
      <x:c r="D351" s="11" t="n">
        <x:f>345*'Summary'!$C$18</x:f>
        <x:v>345000</x:v>
      </x:c>
      <x:c r="E351" s="2" t="n">
        <x:v>503</x:v>
      </x:c>
      <x:c r="F351" s="2" t="n">
        <x:v>503</x:v>
      </x:c>
      <x:c r="G351" s="9" t="n">
        <x:f>F351/E351</x:f>
        <x:v>1</x:v>
      </x:c>
      <x:c r="H351" s="11" t="n">
        <x:f>K351*'Summary'!$C$18</x:f>
        <x:v>8134445.781785393</x:v>
      </x:c>
      <x:c r="I351" s="11" t="n">
        <x:f>L351*'Summary'!$C$18</x:f>
        <x:v>2211328.373829241</x:v>
      </x:c>
      <x:c r="J351" s="11" t="n">
        <x:f>M351*'Summary'!$C$18</x:f>
        <x:v>109000</x:v>
      </x:c>
      <x:c r="K351" s="12" t="n">
        <x:v>8134.445781785393</x:v>
      </x:c>
      <x:c r="L351" s="12" t="n">
        <x:v>2211.3283738292407</x:v>
      </x:c>
      <x:c r="M351" s="12" t="n">
        <x:v>109</x:v>
      </x:c>
      <x:c r="N351" s="2" t="str">
        <x:v>2026-09</x:v>
      </x:c>
    </x:row>
    <x:row r="352" ht="22" customHeight="1">
      <x:c r="A352" s="8" t="d">
        <x:v>2026-10-09T00:00:00.000Z</x:v>
      </x:c>
      <x:c r="B352" s="8" t="d">
        <x:v>2026-10-01T00:00:00.000Z</x:v>
      </x:c>
      <x:c r="C352" s="2" t="str">
        <x:v>P</x:v>
      </x:c>
      <x:c r="D352" s="11" t="n">
        <x:f>346*'Summary'!$C$18</x:f>
        <x:v>346000</x:v>
      </x:c>
      <x:c r="E352" s="2" t="n">
        <x:v>503</x:v>
      </x:c>
      <x:c r="F352" s="2" t="n">
        <x:v>503</x:v>
      </x:c>
      <x:c r="G352" s="9" t="n">
        <x:f>F352/E352</x:f>
        <x:v>1</x:v>
      </x:c>
      <x:c r="H352" s="11" t="n">
        <x:f>K352*'Summary'!$C$18</x:f>
        <x:v>8204466.908644404</x:v>
      </x:c>
      <x:c r="I352" s="11" t="n">
        <x:f>L352*'Summary'!$C$18</x:f>
        <x:v>2258566.7296653003</x:v>
      </x:c>
      <x:c r="J352" s="11" t="n">
        <x:f>M352*'Summary'!$C$18</x:f>
        <x:v>113000</x:v>
      </x:c>
      <x:c r="K352" s="12" t="n">
        <x:v>8204.466908644405</x:v>
      </x:c>
      <x:c r="L352" s="12" t="n">
        <x:v>2258.5667296653005</x:v>
      </x:c>
      <x:c r="M352" s="12" t="n">
        <x:v>113</x:v>
      </x:c>
      <x:c r="N352" s="2" t="str">
        <x:v>2026-10</x:v>
      </x:c>
    </x:row>
  </x:sheetData>
  <x:conditionalFormatting sqref="G7:G352">
    <x:cfRule type="cellIs" dxfId="0" priority="1" operator="lessThan">
      <x:formula>1</x:formula>
    </x:cfRule>
  </x:conditionalFormatting>
  <x:pageMargins left="0.7" right="0.7" top="0.75" bottom="0.75" header="0.3" footer="0.3"/>
  <x:tableParts count="1">
    <x:tablePart xmlns:r="http://schemas.openxmlformats.org/officeDocument/2006/relationships" r:id="R177c79eb55fd401e"/>
  </x:tableParts>
</x:worksheet>
</file>

<file path=xl/worksheets/sheet4.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2" hidden="0" customWidth="1"/>
    <x:col min="2" max="2" width="22" hidden="0" customWidth="1"/>
    <x:col min="3" max="3" width="22" hidden="0" customWidth="1"/>
    <x:col min="4" max="4" width="22" hidden="0" customWidth="1"/>
    <x:col min="5" max="5" width="22" hidden="0" customWidth="1"/>
    <x:col min="6" max="6" width="34" hidden="0" customWidth="1"/>
    <x:col min="7" max="7" width="22" hidden="0" customWidth="1"/>
  </x:cols>
  <x:sheetData>
    <x:row r="1" ht="22" customHeight="1">
      <x:c r="A1" s="2"/>
      <x:c r="B1" s="2"/>
      <x:c r="C1" s="2"/>
      <x:c r="D1" s="2"/>
      <x:c r="E1" s="2"/>
      <x:c r="F1" s="2"/>
      <x:c r="G1" s="2"/>
    </x:row>
    <x:row r="2" ht="22" customHeight="1">
      <x:c r="A2" s="3" t="str">
        <x:v>Holdings retained after purchase</x:v>
      </x:c>
      <x:c r="B2" s="2"/>
      <x:c r="C2" s="2"/>
      <x:c r="D2" s="2"/>
      <x:c r="E2" s="2"/>
      <x:c r="F2" s="2"/>
      <x:c r="G2" s="2"/>
    </x:row>
    <x:row r="3" ht="22" customHeight="1">
      <x:c r="A3" s="4"/>
      <x:c r="B3" s="4"/>
      <x:c r="C3" s="4"/>
      <x:c r="D3" s="4"/>
      <x:c r="E3" s="4"/>
      <x:c r="F3" s="4"/>
      <x:c r="G3" s="4"/>
    </x:row>
    <x:row r="4" ht="22" customHeight="1">
      <x:c r="A4" s="2" t="str">
        <x:v>Ended or unavailable histories are valued at $0, including acquired companies. No recovery is credited.</x:v>
      </x:c>
      <x:c r="B4" s="2"/>
      <x:c r="C4" s="2"/>
      <x:c r="D4" s="2"/>
      <x:c r="E4" s="2"/>
      <x:c r="F4" s="2"/>
      <x:c r="G4" s="2"/>
    </x:row>
    <x:row r="5" ht="22" customHeight="1">
      <x:c r="A5" s="2"/>
      <x:c r="B5" s="2"/>
      <x:c r="C5" s="2"/>
      <x:c r="D5" s="2"/>
      <x:c r="E5" s="2"/>
      <x:c r="F5" s="2"/>
      <x:c r="G5" s="2"/>
    </x:row>
    <x:row r="6" ht="30" customHeight="1">
      <x:c r="A6" s="13" t="str">
        <x:v>Stock</x:v>
      </x:c>
      <x:c r="B6" s="13" t="str">
        <x:v>Purchases</x:v>
      </x:c>
      <x:c r="C6" s="13" t="str">
        <x:v>Invested</x:v>
      </x:c>
      <x:c r="D6" s="13" t="str">
        <x:v>Final marked value</x:v>
      </x:c>
      <x:c r="E6" s="13" t="str">
        <x:v>Portfolio share</x:v>
      </x:c>
      <x:c r="F6" s="13" t="str">
        <x:v>Valuation status</x:v>
      </x:c>
      <x:c r="G6" s="13" t="str">
        <x:v>Final quote date</x:v>
      </x:c>
    </x:row>
    <x:row r="7" ht="22" customHeight="1">
      <x:c r="A7" s="2" t="str">
        <x:v>NVDA</x:v>
      </x:c>
      <x:c r="B7" s="2" t="n">
        <x:f>COUNTIFS('Purchases'!$C$7:$C$352,A7)</x:f>
        <x:v>6</x:v>
      </x:c>
      <x:c r="C7" s="11" t="n">
        <x:f>SUMIFS('Purchases'!$G$7:$G$352,'Purchases'!$C$7:$C$352,A7)</x:f>
        <x:v>6000</x:v>
      </x:c>
      <x:c r="D7" s="11" t="n">
        <x:f>SUMIFS('Purchases'!$I$7:$I$352,'Purchases'!$C$7:$C$352,A7)</x:f>
        <x:v>3131931.541654517</x:v>
      </x:c>
      <x:c r="E7" s="9" t="n">
        <x:f>D7/'Summary'!$C$10</x:f>
        <x:v>0.381734922762203</x:v>
      </x:c>
      <x:c r="F7" s="2" t="str">
        <x:v>current price</x:v>
      </x:c>
      <x:c r="G7" s="8" t="d">
        <x:v>2026-10-09T00:00:00.000Z</x:v>
      </x:c>
    </x:row>
    <x:row r="8" ht="22" customHeight="1">
      <x:c r="A8" s="2" t="str">
        <x:v>AAPL</x:v>
      </x:c>
      <x:c r="B8" s="2" t="n">
        <x:f>COUNTIFS('Purchases'!$C$7:$C$352,A8)</x:f>
        <x:v>2</x:v>
      </x:c>
      <x:c r="C8" s="11" t="n">
        <x:f>SUMIFS('Purchases'!$G$7:$G$352,'Purchases'!$C$7:$C$352,A8)</x:f>
        <x:v>2000</x:v>
      </x:c>
      <x:c r="D8" s="11" t="n">
        <x:f>SUMIFS('Purchases'!$I$7:$I$352,'Purchases'!$C$7:$C$352,A8)</x:f>
        <x:v>2725712.8598029814</x:v>
      </x:c>
      <x:c r="E8" s="9" t="n">
        <x:f>D8/'Summary'!$C$10</x:f>
        <x:v>0.3322230304750422</x:v>
      </x:c>
      <x:c r="F8" s="2" t="str">
        <x:v>current price</x:v>
      </x:c>
      <x:c r="G8" s="8" t="d">
        <x:v>2026-10-09T00:00:00.000Z</x:v>
      </x:c>
    </x:row>
    <x:row r="9" ht="22" customHeight="1">
      <x:c r="A9" s="2" t="str">
        <x:v>MU</x:v>
      </x:c>
      <x:c r="B9" s="2" t="n">
        <x:f>COUNTIFS('Purchases'!$C$7:$C$352,A9)</x:f>
        <x:v>6</x:v>
      </x:c>
      <x:c r="C9" s="11" t="n">
        <x:f>SUMIFS('Purchases'!$G$7:$G$352,'Purchases'!$C$7:$C$352,A9)</x:f>
        <x:v>6000</x:v>
      </x:c>
      <x:c r="D9" s="11" t="n">
        <x:f>SUMIFS('Purchases'!$I$7:$I$352,'Purchases'!$C$7:$C$352,A9)</x:f>
        <x:v>450257.4980896591</x:v>
      </x:c>
      <x:c r="E9" s="9" t="n">
        <x:f>D9/'Summary'!$C$10</x:f>
        <x:v>0.054879555625778335</x:v>
      </x:c>
      <x:c r="F9" s="2" t="str">
        <x:v>current price</x:v>
      </x:c>
      <x:c r="G9" s="8" t="d">
        <x:v>2026-10-09T00:00:00.000Z</x:v>
      </x:c>
    </x:row>
    <x:row r="10" ht="22" customHeight="1">
      <x:c r="A10" s="2" t="str">
        <x:v>AMD</x:v>
      </x:c>
      <x:c r="B10" s="2" t="n">
        <x:f>COUNTIFS('Purchases'!$C$7:$C$352,A10)</x:f>
        <x:v>8</x:v>
      </x:c>
      <x:c r="C10" s="11" t="n">
        <x:f>SUMIFS('Purchases'!$G$7:$G$352,'Purchases'!$C$7:$C$352,A10)</x:f>
        <x:v>8000</x:v>
      </x:c>
      <x:c r="D10" s="11" t="n">
        <x:f>SUMIFS('Purchases'!$I$7:$I$352,'Purchases'!$C$7:$C$352,A10)</x:f>
        <x:v>372415.5655167138</x:v>
      </x:c>
      <x:c r="E10" s="9" t="n">
        <x:f>D10/'Summary'!$C$10</x:f>
        <x:v>0.04539180542332779</x:v>
      </x:c>
      <x:c r="F10" s="2" t="str">
        <x:v>current price</x:v>
      </x:c>
      <x:c r="G10" s="8" t="d">
        <x:v>2026-10-09T00:00:00.000Z</x:v>
      </x:c>
    </x:row>
    <x:row r="11" ht="22" customHeight="1">
      <x:c r="A11" s="2" t="str">
        <x:v>DDS</x:v>
      </x:c>
      <x:c r="B11" s="2" t="n">
        <x:f>COUNTIFS('Purchases'!$C$7:$C$352,A11)</x:f>
        <x:v>5</x:v>
      </x:c>
      <x:c r="C11" s="11" t="n">
        <x:f>SUMIFS('Purchases'!$G$7:$G$352,'Purchases'!$C$7:$C$352,A11)</x:f>
        <x:v>5000</x:v>
      </x:c>
      <x:c r="D11" s="11" t="n">
        <x:f>SUMIFS('Purchases'!$I$7:$I$352,'Purchases'!$C$7:$C$352,A11)</x:f>
        <x:v>210371.01684436316</x:v>
      </x:c>
      <x:c r="E11" s="9" t="n">
        <x:f>D11/'Summary'!$C$10</x:f>
        <x:v>0.025641034230290214</x:v>
      </x:c>
      <x:c r="F11" s="2" t="str">
        <x:v>current price</x:v>
      </x:c>
      <x:c r="G11" s="8" t="d">
        <x:v>2026-10-09T00:00:00.000Z</x:v>
      </x:c>
    </x:row>
    <x:row r="12" ht="22" customHeight="1">
      <x:c r="A12" s="2" t="str">
        <x:v>NFLX</x:v>
      </x:c>
      <x:c r="B12" s="2" t="n">
        <x:f>COUNTIFS('Purchases'!$C$7:$C$352,A12)</x:f>
        <x:v>6</x:v>
      </x:c>
      <x:c r="C12" s="11" t="n">
        <x:f>SUMIFS('Purchases'!$G$7:$G$352,'Purchases'!$C$7:$C$352,A12)</x:f>
        <x:v>6000</x:v>
      </x:c>
      <x:c r="D12" s="11" t="n">
        <x:f>SUMIFS('Purchases'!$I$7:$I$352,'Purchases'!$C$7:$C$352,A12)</x:f>
        <x:v>155863.7955339284</x:v>
      </x:c>
      <x:c r="E12" s="9" t="n">
        <x:f>D12/'Summary'!$C$10</x:f>
        <x:v>0.018997431188466012</x:v>
      </x:c>
      <x:c r="F12" s="2" t="str">
        <x:v>current price</x:v>
      </x:c>
      <x:c r="G12" s="8" t="d">
        <x:v>2026-10-09T00:00:00.000Z</x:v>
      </x:c>
    </x:row>
    <x:row r="13" ht="22" customHeight="1">
      <x:c r="A13" s="2" t="str">
        <x:v>AMZN</x:v>
      </x:c>
      <x:c r="B13" s="2" t="n">
        <x:f>COUNTIFS('Purchases'!$C$7:$C$352,A13)</x:f>
        <x:v>2</x:v>
      </x:c>
      <x:c r="C13" s="11" t="n">
        <x:f>SUMIFS('Purchases'!$G$7:$G$352,'Purchases'!$C$7:$C$352,A13)</x:f>
        <x:v>2000</x:v>
      </x:c>
      <x:c r="D13" s="11" t="n">
        <x:f>SUMIFS('Purchases'!$I$7:$I$352,'Purchases'!$C$7:$C$352,A13)</x:f>
        <x:v>130105.94721410838</x:v>
      </x:c>
      <x:c r="E13" s="9" t="n">
        <x:f>D13/'Summary'!$C$10</x:f>
        <x:v>0.015857940395607655</x:v>
      </x:c>
      <x:c r="F13" s="2" t="str">
        <x:v>current price</x:v>
      </x:c>
      <x:c r="G13" s="8" t="d">
        <x:v>2026-10-09T00:00:00.000Z</x:v>
      </x:c>
    </x:row>
    <x:row r="14" ht="22" customHeight="1">
      <x:c r="A14" s="2" t="str">
        <x:v>HUM</x:v>
      </x:c>
      <x:c r="B14" s="2" t="n">
        <x:f>COUNTIFS('Purchases'!$C$7:$C$352,A14)</x:f>
        <x:v>2</x:v>
      </x:c>
      <x:c r="C14" s="11" t="n">
        <x:f>SUMIFS('Purchases'!$G$7:$G$352,'Purchases'!$C$7:$C$352,A14)</x:f>
        <x:v>2000</x:v>
      </x:c>
      <x:c r="D14" s="11" t="n">
        <x:f>SUMIFS('Purchases'!$I$7:$I$352,'Purchases'!$C$7:$C$352,A14)</x:f>
        <x:v>70026.08355177139</x:v>
      </x:c>
      <x:c r="E14" s="9" t="n">
        <x:f>D14/'Summary'!$C$10</x:f>
        <x:v>0.008535116825016401</x:v>
      </x:c>
      <x:c r="F14" s="2" t="str">
        <x:v>current price</x:v>
      </x:c>
      <x:c r="G14" s="8" t="d">
        <x:v>2026-10-09T00:00:00.000Z</x:v>
      </x:c>
    </x:row>
    <x:row r="15" ht="22" customHeight="1">
      <x:c r="A15" s="2" t="str">
        <x:v>PGR</x:v>
      </x:c>
      <x:c r="B15" s="2" t="n">
        <x:f>COUNTIFS('Purchases'!$C$7:$C$352,A15)</x:f>
        <x:v>1</x:v>
      </x:c>
      <x:c r="C15" s="11" t="n">
        <x:f>SUMIFS('Purchases'!$G$7:$G$352,'Purchases'!$C$7:$C$352,A15)</x:f>
        <x:v>1000</x:v>
      </x:c>
      <x:c r="D15" s="11" t="n">
        <x:f>SUMIFS('Purchases'!$I$7:$I$352,'Purchases'!$C$7:$C$352,A15)</x:f>
        <x:v>54674.60057212656</x:v>
      </x:c>
      <x:c r="E15" s="9" t="n">
        <x:f>D15/'Summary'!$C$10</x:f>
        <x:v>0.006664004033571348</x:v>
      </x:c>
      <x:c r="F15" s="2" t="str">
        <x:v>current price</x:v>
      </x:c>
      <x:c r="G15" s="8" t="d">
        <x:v>2026-10-09T00:00:00.000Z</x:v>
      </x:c>
    </x:row>
    <x:row r="16" ht="22" customHeight="1">
      <x:c r="A16" s="2" t="str">
        <x:v>ATI</x:v>
      </x:c>
      <x:c r="B16" s="2" t="n">
        <x:f>COUNTIFS('Purchases'!$C$7:$C$352,A16)</x:f>
        <x:v>4</x:v>
      </x:c>
      <x:c r="C16" s="11" t="n">
        <x:f>SUMIFS('Purchases'!$G$7:$G$352,'Purchases'!$C$7:$C$352,A16)</x:f>
        <x:v>4000</x:v>
      </x:c>
      <x:c r="D16" s="11" t="n">
        <x:f>SUMIFS('Purchases'!$I$7:$I$352,'Purchases'!$C$7:$C$352,A16)</x:f>
        <x:v>52712.74394133448</x:v>
      </x:c>
      <x:c r="E16" s="9" t="n">
        <x:f>D16/'Summary'!$C$10</x:f>
        <x:v>0.006424883484649546</x:v>
      </x:c>
      <x:c r="F16" s="2" t="str">
        <x:v>current price</x:v>
      </x:c>
      <x:c r="G16" s="8" t="d">
        <x:v>2026-10-09T00:00:00.000Z</x:v>
      </x:c>
    </x:row>
    <x:row r="17" ht="22" customHeight="1">
      <x:c r="A17" s="2" t="str">
        <x:v>JBL</x:v>
      </x:c>
      <x:c r="B17" s="2" t="n">
        <x:f>COUNTIFS('Purchases'!$C$7:$C$352,A17)</x:f>
        <x:v>2</x:v>
      </x:c>
      <x:c r="C17" s="11" t="n">
        <x:f>SUMIFS('Purchases'!$G$7:$G$352,'Purchases'!$C$7:$C$352,A17)</x:f>
        <x:v>2000</x:v>
      </x:c>
      <x:c r="D17" s="11" t="n">
        <x:f>SUMIFS('Purchases'!$I$7:$I$352,'Purchases'!$C$7:$C$352,A17)</x:f>
        <x:v>48009.968998779696</x:v>
      </x:c>
      <x:c r="E17" s="9" t="n">
        <x:f>D17/'Summary'!$C$10</x:f>
        <x:v>0.005851686591426328</x:v>
      </x:c>
      <x:c r="F17" s="2" t="str">
        <x:v>current price</x:v>
      </x:c>
      <x:c r="G17" s="8" t="d">
        <x:v>2026-10-09T00:00:00.000Z</x:v>
      </x:c>
    </x:row>
    <x:row r="18" ht="22" customHeight="1">
      <x:c r="A18" s="2" t="str">
        <x:v>CIEN</x:v>
      </x:c>
      <x:c r="B18" s="2" t="n">
        <x:f>COUNTIFS('Purchases'!$C$7:$C$352,A18)</x:f>
        <x:v>2</x:v>
      </x:c>
      <x:c r="C18" s="11" t="n">
        <x:f>SUMIFS('Purchases'!$G$7:$G$352,'Purchases'!$C$7:$C$352,A18)</x:f>
        <x:v>2000</x:v>
      </x:c>
      <x:c r="D18" s="11" t="n">
        <x:f>SUMIFS('Purchases'!$I$7:$I$352,'Purchases'!$C$7:$C$352,A18)</x:f>
        <x:v>46945.74420685963</x:v>
      </x:c>
      <x:c r="E18" s="9" t="n">
        <x:f>D18/'Summary'!$C$10</x:f>
        <x:v>0.005721973740636935</x:v>
      </x:c>
      <x:c r="F18" s="2" t="str">
        <x:v>current price</x:v>
      </x:c>
      <x:c r="G18" s="8" t="d">
        <x:v>2026-10-09T00:00:00.000Z</x:v>
      </x:c>
    </x:row>
    <x:row r="19" ht="22" customHeight="1">
      <x:c r="A19" s="2" t="str">
        <x:v>VLO</x:v>
      </x:c>
      <x:c r="B19" s="2" t="n">
        <x:f>COUNTIFS('Purchases'!$C$7:$C$352,A19)</x:f>
        <x:v>2</x:v>
      </x:c>
      <x:c r="C19" s="11" t="n">
        <x:f>SUMIFS('Purchases'!$G$7:$G$352,'Purchases'!$C$7:$C$352,A19)</x:f>
        <x:v>2000</x:v>
      </x:c>
      <x:c r="D19" s="11" t="n">
        <x:f>SUMIFS('Purchases'!$I$7:$I$352,'Purchases'!$C$7:$C$352,A19)</x:f>
        <x:v>40023.155061776815</x:v>
      </x:c>
      <x:c r="E19" s="9" t="n">
        <x:f>D19/'Summary'!$C$10</x:f>
        <x:v>0.004878215185423866</x:v>
      </x:c>
      <x:c r="F19" s="2" t="str">
        <x:v>current price</x:v>
      </x:c>
      <x:c r="G19" s="8" t="d">
        <x:v>2026-10-09T00:00:00.000Z</x:v>
      </x:c>
    </x:row>
    <x:row r="20" ht="22" customHeight="1">
      <x:c r="A20" s="2" t="str">
        <x:v>FCX</x:v>
      </x:c>
      <x:c r="B20" s="2" t="n">
        <x:f>COUNTIFS('Purchases'!$C$7:$C$352,A20)</x:f>
        <x:v>3</x:v>
      </x:c>
      <x:c r="C20" s="11" t="n">
        <x:f>SUMIFS('Purchases'!$G$7:$G$352,'Purchases'!$C$7:$C$352,A20)</x:f>
        <x:v>3000</x:v>
      </x:c>
      <x:c r="D20" s="11" t="n">
        <x:f>SUMIFS('Purchases'!$I$7:$I$352,'Purchases'!$C$7:$C$352,A20)</x:f>
        <x:v>27812.25670874704</x:v>
      </x:c>
      <x:c r="E20" s="9" t="n">
        <x:f>D20/'Summary'!$C$10</x:f>
        <x:v>0.003389891996473039</x:v>
      </x:c>
      <x:c r="F20" s="2" t="str">
        <x:v>current price</x:v>
      </x:c>
      <x:c r="G20" s="8" t="d">
        <x:v>2026-10-09T00:00:00.000Z</x:v>
      </x:c>
    </x:row>
    <x:row r="21" ht="22" customHeight="1">
      <x:c r="A21" s="2" t="str">
        <x:v>NTAP</x:v>
      </x:c>
      <x:c r="B21" s="2" t="n">
        <x:f>COUNTIFS('Purchases'!$C$7:$C$352,A21)</x:f>
        <x:v>3</x:v>
      </x:c>
      <x:c r="C21" s="11" t="n">
        <x:f>SUMIFS('Purchases'!$G$7:$G$352,'Purchases'!$C$7:$C$352,A21)</x:f>
        <x:v>3000</x:v>
      </x:c>
      <x:c r="D21" s="11" t="n">
        <x:f>SUMIFS('Purchases'!$I$7:$I$352,'Purchases'!$C$7:$C$352,A21)</x:f>
        <x:v>26555.812979138507</x:v>
      </x:c>
      <x:c r="E21" s="9" t="n">
        <x:f>D21/'Summary'!$C$10</x:f>
        <x:v>0.0032367505744150737</x:v>
      </x:c>
      <x:c r="F21" s="2" t="str">
        <x:v>current price</x:v>
      </x:c>
      <x:c r="G21" s="8" t="d">
        <x:v>2026-10-09T00:00:00.000Z</x:v>
      </x:c>
    </x:row>
    <x:row r="22" ht="22" customHeight="1">
      <x:c r="A22" s="2" t="str">
        <x:v>HWM</x:v>
      </x:c>
      <x:c r="B22" s="2" t="n">
        <x:f>COUNTIFS('Purchases'!$C$7:$C$352,A22)</x:f>
        <x:v>3</x:v>
      </x:c>
      <x:c r="C22" s="11" t="n">
        <x:f>SUMIFS('Purchases'!$G$7:$G$352,'Purchases'!$C$7:$C$352,A22)</x:f>
        <x:v>3000</x:v>
      </x:c>
      <x:c r="D22" s="11" t="n">
        <x:f>SUMIFS('Purchases'!$I$7:$I$352,'Purchases'!$C$7:$C$352,A22)</x:f>
        <x:v>26509.113471853507</x:v>
      </x:c>
      <x:c r="E22" s="9" t="n">
        <x:f>D22/'Summary'!$C$10</x:f>
        <x:v>0.003231058613218165</x:v>
      </x:c>
      <x:c r="F22" s="2" t="str">
        <x:v>current price</x:v>
      </x:c>
      <x:c r="G22" s="8" t="d">
        <x:v>2026-10-09T00:00:00.000Z</x:v>
      </x:c>
    </x:row>
    <x:row r="23" ht="22" customHeight="1">
      <x:c r="A23" s="2" t="str">
        <x:v>THC</x:v>
      </x:c>
      <x:c r="B23" s="2" t="n">
        <x:f>COUNTIFS('Purchases'!$C$7:$C$352,A23)</x:f>
        <x:v>2</x:v>
      </x:c>
      <x:c r="C23" s="11" t="n">
        <x:f>SUMIFS('Purchases'!$G$7:$G$352,'Purchases'!$C$7:$C$352,A23)</x:f>
        <x:v>2000</x:v>
      </x:c>
      <x:c r="D23" s="11" t="n">
        <x:f>SUMIFS('Purchases'!$I$7:$I$352,'Purchases'!$C$7:$C$352,A23)</x:f>
        <x:v>21608.946938542267</x:v>
      </x:c>
      <x:c r="E23" s="9" t="n">
        <x:f>D23/'Summary'!$C$10</x:f>
        <x:v>0.002633802680820828</x:v>
      </x:c>
      <x:c r="F23" s="2" t="str">
        <x:v>current price</x:v>
      </x:c>
      <x:c r="G23" s="8" t="d">
        <x:v>2026-10-09T00:00:00.000Z</x:v>
      </x:c>
    </x:row>
    <x:row r="24" ht="22" customHeight="1">
      <x:c r="A24" s="2" t="str">
        <x:v>PTC</x:v>
      </x:c>
      <x:c r="B24" s="2" t="n">
        <x:f>COUNTIFS('Purchases'!$C$7:$C$352,A24)</x:f>
        <x:v>3</x:v>
      </x:c>
      <x:c r="C24" s="11" t="n">
        <x:f>SUMIFS('Purchases'!$G$7:$G$352,'Purchases'!$C$7:$C$352,A24)</x:f>
        <x:v>3000</x:v>
      </x:c>
      <x:c r="D24" s="11" t="n">
        <x:f>SUMIFS('Purchases'!$I$7:$I$352,'Purchases'!$C$7:$C$352,A24)</x:f>
        <x:v>21363.54094702536</x:v>
      </x:c>
      <x:c r="E24" s="9" t="n">
        <x:f>D24/'Summary'!$C$10</x:f>
        <x:v>0.0026038914148907946</x:v>
      </x:c>
      <x:c r="F24" s="2" t="str">
        <x:v>current price</x:v>
      </x:c>
      <x:c r="G24" s="8" t="d">
        <x:v>2026-10-09T00:00:00.000Z</x:v>
      </x:c>
    </x:row>
    <x:row r="25" ht="22" customHeight="1">
      <x:c r="A25" s="2" t="str">
        <x:v>EXC</x:v>
      </x:c>
      <x:c r="B25" s="2" t="n">
        <x:f>COUNTIFS('Purchases'!$C$7:$C$352,A25)</x:f>
        <x:v>2</x:v>
      </x:c>
      <x:c r="C25" s="11" t="n">
        <x:f>SUMIFS('Purchases'!$G$7:$G$352,'Purchases'!$C$7:$C$352,A25)</x:f>
        <x:v>2000</x:v>
      </x:c>
      <x:c r="D25" s="11" t="n">
        <x:f>SUMIFS('Purchases'!$I$7:$I$352,'Purchases'!$C$7:$C$352,A25)</x:f>
        <x:v>20864.657030994007</x:v>
      </x:c>
      <x:c r="E25" s="9" t="n">
        <x:f>D25/'Summary'!$C$10</x:f>
        <x:v>0.0025430850369030657</x:v>
      </x:c>
      <x:c r="F25" s="2" t="str">
        <x:v>current price</x:v>
      </x:c>
      <x:c r="G25" s="8" t="d">
        <x:v>2026-10-09T00:00:00.000Z</x:v>
      </x:c>
    </x:row>
    <x:row r="26" ht="22" customHeight="1">
      <x:c r="A26" s="2" t="str">
        <x:v>DHI</x:v>
      </x:c>
      <x:c r="B26" s="2" t="n">
        <x:f>COUNTIFS('Purchases'!$C$7:$C$352,A26)</x:f>
        <x:v>1</x:v>
      </x:c>
      <x:c r="C26" s="11" t="n">
        <x:f>SUMIFS('Purchases'!$G$7:$G$352,'Purchases'!$C$7:$C$352,A26)</x:f>
        <x:v>1000</x:v>
      </x:c>
      <x:c r="D26" s="11" t="n">
        <x:f>SUMIFS('Purchases'!$I$7:$I$352,'Purchases'!$C$7:$C$352,A26)</x:f>
        <x:v>19928.86310966808</x:v>
      </x:c>
      <x:c r="E26" s="9" t="n">
        <x:f>D26/'Summary'!$C$10</x:f>
        <x:v>0.0024290259600913233</x:v>
      </x:c>
      <x:c r="F26" s="2" t="str">
        <x:v>current price</x:v>
      </x:c>
      <x:c r="G26" s="8" t="d">
        <x:v>2026-10-09T00:00:00.000Z</x:v>
      </x:c>
    </x:row>
    <x:row r="27" ht="22" customHeight="1">
      <x:c r="A27" s="2" t="str">
        <x:v>ORCL</x:v>
      </x:c>
      <x:c r="B27" s="2" t="n">
        <x:f>COUNTIFS('Purchases'!$C$7:$C$352,A27)</x:f>
        <x:v>1</x:v>
      </x:c>
      <x:c r="C27" s="11" t="n">
        <x:f>SUMIFS('Purchases'!$G$7:$G$352,'Purchases'!$C$7:$C$352,A27)</x:f>
        <x:v>1000</x:v>
      </x:c>
      <x:c r="D27" s="11" t="n">
        <x:f>SUMIFS('Purchases'!$I$7:$I$352,'Purchases'!$C$7:$C$352,A27)</x:f>
        <x:v>19389.34579485958</x:v>
      </x:c>
      <x:c r="E27" s="9" t="n">
        <x:f>D27/'Summary'!$C$10</x:f>
        <x:v>0.00236326698747071</x:v>
      </x:c>
      <x:c r="F27" s="2" t="str">
        <x:v>current price</x:v>
      </x:c>
      <x:c r="G27" s="8" t="d">
        <x:v>2026-10-09T00:00:00.000Z</x:v>
      </x:c>
    </x:row>
    <x:row r="28" ht="22" customHeight="1">
      <x:c r="A28" s="2" t="str">
        <x:v>AVGO</x:v>
      </x:c>
      <x:c r="B28" s="2" t="n">
        <x:f>COUNTIFS('Purchases'!$C$7:$C$352,A28)</x:f>
        <x:v>2</x:v>
      </x:c>
      <x:c r="C28" s="11" t="n">
        <x:f>SUMIFS('Purchases'!$G$7:$G$352,'Purchases'!$C$7:$C$352,A28)</x:f>
        <x:v>2000</x:v>
      </x:c>
      <x:c r="D28" s="11" t="n">
        <x:f>SUMIFS('Purchases'!$I$7:$I$352,'Purchases'!$C$7:$C$352,A28)</x:f>
        <x:v>19185.6665740451</x:v>
      </x:c>
      <x:c r="E28" s="9" t="n">
        <x:f>D28/'Summary'!$C$10</x:f>
        <x:v>0.0023384415816175516</x:v>
      </x:c>
      <x:c r="F28" s="2" t="str">
        <x:v>current price</x:v>
      </x:c>
      <x:c r="G28" s="8" t="d">
        <x:v>2026-10-09T00:00:00.000Z</x:v>
      </x:c>
    </x:row>
    <x:row r="29" ht="22" customHeight="1">
      <x:c r="A29" s="2" t="str">
        <x:v>VIAV</x:v>
      </x:c>
      <x:c r="B29" s="2" t="n">
        <x:f>COUNTIFS('Purchases'!$C$7:$C$352,A29)</x:f>
        <x:v>5</x:v>
      </x:c>
      <x:c r="C29" s="11" t="n">
        <x:f>SUMIFS('Purchases'!$G$7:$G$352,'Purchases'!$C$7:$C$352,A29)</x:f>
        <x:v>5000</x:v>
      </x:c>
      <x:c r="D29" s="11" t="n">
        <x:f>SUMIFS('Purchases'!$I$7:$I$352,'Purchases'!$C$7:$C$352,A29)</x:f>
        <x:v>16573.062886742333</x:v>
      </x:c>
      <x:c r="E29" s="9" t="n">
        <x:f>D29/'Summary'!$C$10</x:f>
        <x:v>0.002020004842654251</x:v>
      </x:c>
      <x:c r="F29" s="2" t="str">
        <x:v>current price</x:v>
      </x:c>
      <x:c r="G29" s="8" t="d">
        <x:v>2026-10-09T00:00:00.000Z</x:v>
      </x:c>
    </x:row>
    <x:row r="30" ht="22" customHeight="1">
      <x:c r="A30" s="2" t="str">
        <x:v>NEM</x:v>
      </x:c>
      <x:c r="B30" s="2" t="n">
        <x:f>COUNTIFS('Purchases'!$C$7:$C$352,A30)</x:f>
        <x:v>3</x:v>
      </x:c>
      <x:c r="C30" s="11" t="n">
        <x:f>SUMIFS('Purchases'!$G$7:$G$352,'Purchases'!$C$7:$C$352,A30)</x:f>
        <x:v>3000</x:v>
      </x:c>
      <x:c r="D30" s="11" t="n">
        <x:f>SUMIFS('Purchases'!$I$7:$I$352,'Purchases'!$C$7:$C$352,A30)</x:f>
        <x:v>16019.160222411558</x:v>
      </x:c>
      <x:c r="E30" s="9" t="n">
        <x:f>D30/'Summary'!$C$10</x:f>
        <x:v>0.001952492514247996</x:v>
      </x:c>
      <x:c r="F30" s="2" t="str">
        <x:v>current price</x:v>
      </x:c>
      <x:c r="G30" s="8" t="d">
        <x:v>2026-10-09T00:00:00.000Z</x:v>
      </x:c>
    </x:row>
    <x:row r="31" ht="22" customHeight="1">
      <x:c r="A31" s="2" t="str">
        <x:v>AES</x:v>
      </x:c>
      <x:c r="B31" s="2" t="n">
        <x:f>COUNTIFS('Purchases'!$C$7:$C$352,A31)</x:f>
        <x:v>3</x:v>
      </x:c>
      <x:c r="C31" s="11" t="n">
        <x:f>SUMIFS('Purchases'!$G$7:$G$352,'Purchases'!$C$7:$C$352,A31)</x:f>
        <x:v>3000</x:v>
      </x:c>
      <x:c r="D31" s="11" t="n">
        <x:f>SUMIFS('Purchases'!$I$7:$I$352,'Purchases'!$C$7:$C$352,A31)</x:f>
        <x:v>14509.041874292148</x:v>
      </x:c>
      <x:c r="E31" s="9" t="n">
        <x:f>D31/'Summary'!$C$10</x:f>
        <x:v>0.001768432006119323</x:v>
      </x:c>
      <x:c r="F31" s="2" t="str">
        <x:v>current price</x:v>
      </x:c>
      <x:c r="G31" s="8" t="d">
        <x:v>2026-10-09T00:00:00.000Z</x:v>
      </x:c>
    </x:row>
    <x:row r="32" ht="22" customHeight="1">
      <x:c r="A32" s="2" t="str">
        <x:v>QCOM</x:v>
      </x:c>
      <x:c r="B32" s="2" t="n">
        <x:f>COUNTIFS('Purchases'!$C$7:$C$352,A32)</x:f>
        <x:v>3</x:v>
      </x:c>
      <x:c r="C32" s="11" t="n">
        <x:f>SUMIFS('Purchases'!$G$7:$G$352,'Purchases'!$C$7:$C$352,A32)</x:f>
        <x:v>3000</x:v>
      </x:c>
      <x:c r="D32" s="11" t="n">
        <x:f>SUMIFS('Purchases'!$I$7:$I$352,'Purchases'!$C$7:$C$352,A32)</x:f>
        <x:v>14396.504951251663</x:v>
      </x:c>
      <x:c r="E32" s="9" t="n">
        <x:f>D32/'Summary'!$C$10</x:f>
        <x:v>0.0017547154631319048</x:v>
      </x:c>
      <x:c r="F32" s="2" t="str">
        <x:v>current price</x:v>
      </x:c>
      <x:c r="G32" s="8" t="d">
        <x:v>2026-10-09T00:00:00.000Z</x:v>
      </x:c>
    </x:row>
    <x:row r="33" ht="22" customHeight="1">
      <x:c r="A33" s="2" t="str">
        <x:v>NRG</x:v>
      </x:c>
      <x:c r="B33" s="2" t="n">
        <x:f>COUNTIFS('Purchases'!$C$7:$C$352,A33)</x:f>
        <x:v>3</x:v>
      </x:c>
      <x:c r="C33" s="11" t="n">
        <x:f>SUMIFS('Purchases'!$G$7:$G$352,'Purchases'!$C$7:$C$352,A33)</x:f>
        <x:v>3000</x:v>
      </x:c>
      <x:c r="D33" s="11" t="n">
        <x:f>SUMIFS('Purchases'!$I$7:$I$352,'Purchases'!$C$7:$C$352,A33)</x:f>
        <x:v>14063.140706805023</x:v>
      </x:c>
      <x:c r="E33" s="9" t="n">
        <x:f>D33/'Summary'!$C$10</x:f>
        <x:v>0.001714083421079577</x:v>
      </x:c>
      <x:c r="F33" s="2" t="str">
        <x:v>current price</x:v>
      </x:c>
      <x:c r="G33" s="8" t="d">
        <x:v>2026-10-09T00:00:00.000Z</x:v>
      </x:c>
    </x:row>
    <x:row r="34" ht="22" customHeight="1">
      <x:c r="A34" s="2" t="str">
        <x:v>SANM</x:v>
      </x:c>
      <x:c r="B34" s="2" t="n">
        <x:f>COUNTIFS('Purchases'!$C$7:$C$352,A34)</x:f>
        <x:v>2</x:v>
      </x:c>
      <x:c r="C34" s="11" t="n">
        <x:f>SUMIFS('Purchases'!$G$7:$G$352,'Purchases'!$C$7:$C$352,A34)</x:f>
        <x:v>2000</x:v>
      </x:c>
      <x:c r="D34" s="11" t="n">
        <x:f>SUMIFS('Purchases'!$I$7:$I$352,'Purchases'!$C$7:$C$352,A34)</x:f>
        <x:v>14036.469996615073</x:v>
      </x:c>
      <x:c r="E34" s="9" t="n">
        <x:f>D34/'Summary'!$C$10</x:f>
        <x:v>0.0017108326662789164</x:v>
      </x:c>
      <x:c r="F34" s="2" t="str">
        <x:v>current price</x:v>
      </x:c>
      <x:c r="G34" s="8" t="d">
        <x:v>2026-10-09T00:00:00.000Z</x:v>
      </x:c>
    </x:row>
    <x:row r="35" ht="22" customHeight="1">
      <x:c r="A35" s="2" t="str">
        <x:v>BBY</x:v>
      </x:c>
      <x:c r="B35" s="2" t="n">
        <x:f>COUNTIFS('Purchases'!$C$7:$C$352,A35)</x:f>
        <x:v>3</x:v>
      </x:c>
      <x:c r="C35" s="11" t="n">
        <x:f>SUMIFS('Purchases'!$G$7:$G$352,'Purchases'!$C$7:$C$352,A35)</x:f>
        <x:v>3000</x:v>
      </x:c>
      <x:c r="D35" s="11" t="n">
        <x:f>SUMIFS('Purchases'!$I$7:$I$352,'Purchases'!$C$7:$C$352,A35)</x:f>
        <x:v>13694.533006213065</x:v>
      </x:c>
      <x:c r="E35" s="9" t="n">
        <x:f>D35/'Summary'!$C$10</x:f>
        <x:v>0.0016691557366000206</x:v>
      </x:c>
      <x:c r="F35" s="2" t="str">
        <x:v>current price</x:v>
      </x:c>
      <x:c r="G35" s="8" t="d">
        <x:v>2026-10-09T00:00:00.000Z</x:v>
      </x:c>
    </x:row>
    <x:row r="36" ht="22" customHeight="1">
      <x:c r="A36" s="2" t="str">
        <x:v>LPX</x:v>
      </x:c>
      <x:c r="B36" s="2" t="n">
        <x:f>COUNTIFS('Purchases'!$C$7:$C$352,A36)</x:f>
        <x:v>2</x:v>
      </x:c>
      <x:c r="C36" s="11" t="n">
        <x:f>SUMIFS('Purchases'!$G$7:$G$352,'Purchases'!$C$7:$C$352,A36)</x:f>
        <x:v>2000</x:v>
      </x:c>
      <x:c r="D36" s="11" t="n">
        <x:f>SUMIFS('Purchases'!$I$7:$I$352,'Purchases'!$C$7:$C$352,A36)</x:f>
        <x:v>13119.700803715376</x:v>
      </x:c>
      <x:c r="E36" s="9" t="n">
        <x:f>D36/'Summary'!$C$10</x:f>
        <x:v>0.0015990924151310713</x:v>
      </x:c>
      <x:c r="F36" s="2" t="str">
        <x:v>current price</x:v>
      </x:c>
      <x:c r="G36" s="8" t="d">
        <x:v>2026-10-09T00:00:00.000Z</x:v>
      </x:c>
    </x:row>
    <x:row r="37" ht="22" customHeight="1">
      <x:c r="A37" s="2" t="str">
        <x:v>CNP</x:v>
      </x:c>
      <x:c r="B37" s="2" t="n">
        <x:f>COUNTIFS('Purchases'!$C$7:$C$352,A37)</x:f>
        <x:v>1</x:v>
      </x:c>
      <x:c r="C37" s="11" t="n">
        <x:f>SUMIFS('Purchases'!$G$7:$G$352,'Purchases'!$C$7:$C$352,A37)</x:f>
        <x:v>1000</x:v>
      </x:c>
      <x:c r="D37" s="11" t="n">
        <x:f>SUMIFS('Purchases'!$I$7:$I$352,'Purchases'!$C$7:$C$352,A37)</x:f>
        <x:v>13031.43015416219</x:v>
      </x:c>
      <x:c r="E37" s="9" t="n">
        <x:f>D37/'Summary'!$C$10</x:f>
        <x:v>0.0015883335626015061</x:v>
      </x:c>
      <x:c r="F37" s="2" t="str">
        <x:v>current price</x:v>
      </x:c>
      <x:c r="G37" s="8" t="d">
        <x:v>2026-10-09T00:00:00.000Z</x:v>
      </x:c>
    </x:row>
    <x:row r="38" ht="22" customHeight="1">
      <x:c r="A38" s="2" t="str">
        <x:v>SYK</x:v>
      </x:c>
      <x:c r="B38" s="2" t="n">
        <x:f>COUNTIFS('Purchases'!$C$7:$C$352,A38)</x:f>
        <x:v>1</x:v>
      </x:c>
      <x:c r="C38" s="11" t="n">
        <x:f>SUMIFS('Purchases'!$G$7:$G$352,'Purchases'!$C$7:$C$352,A38)</x:f>
        <x:v>1000</x:v>
      </x:c>
      <x:c r="D38" s="11" t="n">
        <x:f>SUMIFS('Purchases'!$I$7:$I$352,'Purchases'!$C$7:$C$352,A38)</x:f>
        <x:v>12581.272282770255</x:v>
      </x:c>
      <x:c r="E38" s="9" t="n">
        <x:f>D38/'Summary'!$C$10</x:f>
        <x:v>0.0015334661499581828</x:v>
      </x:c>
      <x:c r="F38" s="2" t="str">
        <x:v>current price</x:v>
      </x:c>
      <x:c r="G38" s="8" t="d">
        <x:v>2026-10-09T00:00:00.000Z</x:v>
      </x:c>
    </x:row>
    <x:row r="39" ht="22" customHeight="1">
      <x:c r="A39" s="2" t="str">
        <x:v>DRI</x:v>
      </x:c>
      <x:c r="B39" s="2" t="n">
        <x:f>COUNTIFS('Purchases'!$C$7:$C$352,A39)</x:f>
        <x:v>2</x:v>
      </x:c>
      <x:c r="C39" s="11" t="n">
        <x:f>SUMIFS('Purchases'!$G$7:$G$352,'Purchases'!$C$7:$C$352,A39)</x:f>
        <x:v>2000</x:v>
      </x:c>
      <x:c r="D39" s="11" t="n">
        <x:f>SUMIFS('Purchases'!$I$7:$I$352,'Purchases'!$C$7:$C$352,A39)</x:f>
        <x:v>11944.146094925132</x:v>
      </x:c>
      <x:c r="E39" s="9" t="n">
        <x:f>D39/'Summary'!$C$10</x:f>
        <x:v>0.0014558101370881341</x:v>
      </x:c>
      <x:c r="F39" s="2" t="str">
        <x:v>current price</x:v>
      </x:c>
      <x:c r="G39" s="8" t="d">
        <x:v>2026-10-09T00:00:00.000Z</x:v>
      </x:c>
    </x:row>
    <x:row r="40" ht="22" customHeight="1">
      <x:c r="A40" s="2" t="str">
        <x:v>EBAY</x:v>
      </x:c>
      <x:c r="B40" s="2" t="n">
        <x:f>COUNTIFS('Purchases'!$C$7:$C$352,A40)</x:f>
        <x:v>2</x:v>
      </x:c>
      <x:c r="C40" s="11" t="n">
        <x:f>SUMIFS('Purchases'!$G$7:$G$352,'Purchases'!$C$7:$C$352,A40)</x:f>
        <x:v>2000</x:v>
      </x:c>
      <x:c r="D40" s="11" t="n">
        <x:f>SUMIFS('Purchases'!$I$7:$I$352,'Purchases'!$C$7:$C$352,A40)</x:f>
        <x:v>11799.513943520662</x:v>
      </x:c>
      <x:c r="E40" s="9" t="n">
        <x:f>D40/'Summary'!$C$10</x:f>
        <x:v>0.0014381816728605444</x:v>
      </x:c>
      <x:c r="F40" s="2" t="str">
        <x:v>current price</x:v>
      </x:c>
      <x:c r="G40" s="8" t="d">
        <x:v>2026-10-09T00:00:00.000Z</x:v>
      </x:c>
    </x:row>
    <x:row r="41" ht="22" customHeight="1">
      <x:c r="A41" s="2" t="str">
        <x:v>ZION</x:v>
      </x:c>
      <x:c r="B41" s="2" t="n">
        <x:f>COUNTIFS('Purchases'!$C$7:$C$352,A41)</x:f>
        <x:v>4</x:v>
      </x:c>
      <x:c r="C41" s="11" t="n">
        <x:f>SUMIFS('Purchases'!$G$7:$G$352,'Purchases'!$C$7:$C$352,A41)</x:f>
        <x:v>4000</x:v>
      </x:c>
      <x:c r="D41" s="11" t="n">
        <x:f>SUMIFS('Purchases'!$I$7:$I$352,'Purchases'!$C$7:$C$352,A41)</x:f>
        <x:v>11530.060275593054</x:v>
      </x:c>
      <x:c r="E41" s="9" t="n">
        <x:f>D41/'Summary'!$C$10</x:f>
        <x:v>0.001405339360138728</x:v>
      </x:c>
      <x:c r="F41" s="2" t="str">
        <x:v>current price</x:v>
      </x:c>
      <x:c r="G41" s="8" t="d">
        <x:v>2026-10-09T00:00:00.000Z</x:v>
      </x:c>
    </x:row>
    <x:row r="42" ht="22" customHeight="1">
      <x:c r="A42" s="2" t="str">
        <x:v>TPR</x:v>
      </x:c>
      <x:c r="B42" s="2" t="n">
        <x:f>COUNTIFS('Purchases'!$C$7:$C$352,A42)</x:f>
        <x:v>2</x:v>
      </x:c>
      <x:c r="C42" s="11" t="n">
        <x:f>SUMIFS('Purchases'!$G$7:$G$352,'Purchases'!$C$7:$C$352,A42)</x:f>
        <x:v>2000</x:v>
      </x:c>
      <x:c r="D42" s="11" t="n">
        <x:f>SUMIFS('Purchases'!$I$7:$I$352,'Purchases'!$C$7:$C$352,A42)</x:f>
        <x:v>11103.462498195293</x:v>
      </x:c>
      <x:c r="E42" s="9" t="n">
        <x:f>D42/'Summary'!$C$10</x:f>
        <x:v>0.0013533435653904707</x:v>
      </x:c>
      <x:c r="F42" s="2" t="str">
        <x:v>current price</x:v>
      </x:c>
      <x:c r="G42" s="8" t="d">
        <x:v>2026-10-09T00:00:00.000Z</x:v>
      </x:c>
    </x:row>
    <x:row r="43" ht="22" customHeight="1">
      <x:c r="A43" s="2" t="str">
        <x:v>TMUS</x:v>
      </x:c>
      <x:c r="B43" s="2" t="n">
        <x:f>COUNTIFS('Purchases'!$C$7:$C$352,A43)</x:f>
        <x:v>1</x:v>
      </x:c>
      <x:c r="C43" s="11" t="n">
        <x:f>SUMIFS('Purchases'!$G$7:$G$352,'Purchases'!$C$7:$C$352,A43)</x:f>
        <x:v>1000</x:v>
      </x:c>
      <x:c r="D43" s="11" t="n">
        <x:f>SUMIFS('Purchases'!$I$7:$I$352,'Purchases'!$C$7:$C$352,A43)</x:f>
        <x:v>11023.332575707615</x:v>
      </x:c>
      <x:c r="E43" s="9" t="n">
        <x:f>D43/'Summary'!$C$10</x:f>
        <x:v>0.00134357694394139</x:v>
      </x:c>
      <x:c r="F43" s="2" t="str">
        <x:v>current price</x:v>
      </x:c>
      <x:c r="G43" s="8" t="d">
        <x:v>2026-10-09T00:00:00.000Z</x:v>
      </x:c>
    </x:row>
    <x:row r="44" ht="22" customHeight="1">
      <x:c r="A44" s="2" t="str">
        <x:v>WOR</x:v>
      </x:c>
      <x:c r="B44" s="2" t="n">
        <x:f>COUNTIFS('Purchases'!$C$7:$C$352,A44)</x:f>
        <x:v>1</x:v>
      </x:c>
      <x:c r="C44" s="11" t="n">
        <x:f>SUMIFS('Purchases'!$G$7:$G$352,'Purchases'!$C$7:$C$352,A44)</x:f>
        <x:v>1000</x:v>
      </x:c>
      <x:c r="D44" s="11" t="n">
        <x:f>SUMIFS('Purchases'!$I$7:$I$352,'Purchases'!$C$7:$C$352,A44)</x:f>
        <x:v>10531.493392109749</x:v>
      </x:c>
      <x:c r="E44" s="9" t="n">
        <x:f>D44/'Summary'!$C$10</x:f>
        <x:v>0.0012836292119220076</x:v>
      </x:c>
      <x:c r="F44" s="2" t="str">
        <x:v>current price</x:v>
      </x:c>
      <x:c r="G44" s="8" t="d">
        <x:v>2026-10-09T00:00:00.000Z</x:v>
      </x:c>
    </x:row>
    <x:row r="45" ht="22" customHeight="1">
      <x:c r="A45" s="2" t="str">
        <x:v>NUE</x:v>
      </x:c>
      <x:c r="B45" s="2" t="n">
        <x:f>COUNTIFS('Purchases'!$C$7:$C$352,A45)</x:f>
        <x:v>2</x:v>
      </x:c>
      <x:c r="C45" s="11" t="n">
        <x:f>SUMIFS('Purchases'!$G$7:$G$352,'Purchases'!$C$7:$C$352,A45)</x:f>
        <x:v>2000</x:v>
      </x:c>
      <x:c r="D45" s="11" t="n">
        <x:f>SUMIFS('Purchases'!$I$7:$I$352,'Purchases'!$C$7:$C$352,A45)</x:f>
        <x:v>10091.718424202605</x:v>
      </x:c>
      <x:c r="E45" s="9" t="n">
        <x:f>D45/'Summary'!$C$10</x:f>
        <x:v>0.0012300273176359983</x:v>
      </x:c>
      <x:c r="F45" s="2" t="str">
        <x:v>current price</x:v>
      </x:c>
      <x:c r="G45" s="8" t="d">
        <x:v>2026-10-09T00:00:00.000Z</x:v>
      </x:c>
    </x:row>
    <x:row r="46" ht="22" customHeight="1">
      <x:c r="A46" s="2" t="str">
        <x:v>FSLR</x:v>
      </x:c>
      <x:c r="B46" s="2" t="n">
        <x:f>COUNTIFS('Purchases'!$C$7:$C$352,A46)</x:f>
        <x:v>4</x:v>
      </x:c>
      <x:c r="C46" s="11" t="n">
        <x:f>SUMIFS('Purchases'!$G$7:$G$352,'Purchases'!$C$7:$C$352,A46)</x:f>
        <x:v>4000</x:v>
      </x:c>
      <x:c r="D46" s="11" t="n">
        <x:f>SUMIFS('Purchases'!$I$7:$I$352,'Purchases'!$C$7:$C$352,A46)</x:f>
        <x:v>9990.378399538</x:v>
      </x:c>
      <x:c r="E46" s="9" t="n">
        <x:f>D46/'Summary'!$C$10</x:f>
        <x:v>0.0012176755066294184</x:v>
      </x:c>
      <x:c r="F46" s="2" t="str">
        <x:v>current price</x:v>
      </x:c>
      <x:c r="G46" s="8" t="d">
        <x:v>2026-10-09T00:00:00.000Z</x:v>
      </x:c>
    </x:row>
    <x:row r="47" ht="22" customHeight="1">
      <x:c r="A47" s="2" t="str">
        <x:v>CINF</x:v>
      </x:c>
      <x:c r="B47" s="2" t="n">
        <x:f>COUNTIFS('Purchases'!$C$7:$C$352,A47)</x:f>
        <x:v>1</x:v>
      </x:c>
      <x:c r="C47" s="11" t="n">
        <x:f>SUMIFS('Purchases'!$G$7:$G$352,'Purchases'!$C$7:$C$352,A47)</x:f>
        <x:v>1000</x:v>
      </x:c>
      <x:c r="D47" s="11" t="n">
        <x:f>SUMIFS('Purchases'!$I$7:$I$352,'Purchases'!$C$7:$C$352,A47)</x:f>
        <x:v>9562.378330035352</x:v>
      </x:c>
      <x:c r="E47" s="9" t="n">
        <x:f>D47/'Summary'!$C$10</x:f>
        <x:v>0.0011655087937556432</x:v>
      </x:c>
      <x:c r="F47" s="2" t="str">
        <x:v>current price</x:v>
      </x:c>
      <x:c r="G47" s="8" t="d">
        <x:v>2026-10-09T00:00:00.000Z</x:v>
      </x:c>
    </x:row>
    <x:row r="48" ht="22" customHeight="1">
      <x:c r="A48" s="2" t="str">
        <x:v>EXPE</x:v>
      </x:c>
      <x:c r="B48" s="2" t="n">
        <x:f>COUNTIFS('Purchases'!$C$7:$C$352,A48)</x:f>
        <x:v>2</x:v>
      </x:c>
      <x:c r="C48" s="11" t="n">
        <x:f>SUMIFS('Purchases'!$G$7:$G$352,'Purchases'!$C$7:$C$352,A48)</x:f>
        <x:v>2000</x:v>
      </x:c>
      <x:c r="D48" s="11" t="n">
        <x:f>SUMIFS('Purchases'!$I$7:$I$352,'Purchases'!$C$7:$C$352,A48)</x:f>
        <x:v>9448.08952978096</x:v>
      </x:c>
      <x:c r="E48" s="9" t="n">
        <x:f>D48/'Summary'!$C$10</x:f>
        <x:v>0.0011515787235234418</x:v>
      </x:c>
      <x:c r="F48" s="2" t="str">
        <x:v>current price</x:v>
      </x:c>
      <x:c r="G48" s="8" t="d">
        <x:v>2026-10-09T00:00:00.000Z</x:v>
      </x:c>
    </x:row>
    <x:row r="49" ht="22" customHeight="1">
      <x:c r="A49" s="2" t="str">
        <x:v>HSY</x:v>
      </x:c>
      <x:c r="B49" s="2" t="n">
        <x:f>COUNTIFS('Purchases'!$C$7:$C$352,A49)</x:f>
        <x:v>2</x:v>
      </x:c>
      <x:c r="C49" s="11" t="n">
        <x:f>SUMIFS('Purchases'!$G$7:$G$352,'Purchases'!$C$7:$C$352,A49)</x:f>
        <x:v>2000</x:v>
      </x:c>
      <x:c r="D49" s="11" t="n">
        <x:f>SUMIFS('Purchases'!$I$7:$I$352,'Purchases'!$C$7:$C$352,A49)</x:f>
        <x:v>9397.379282680304</x:v>
      </x:c>
      <x:c r="E49" s="9" t="n">
        <x:f>D49/'Summary'!$C$10</x:f>
        <x:v>0.0011453979140125176</x:v>
      </x:c>
      <x:c r="F49" s="2" t="str">
        <x:v>current price</x:v>
      </x:c>
      <x:c r="G49" s="8" t="d">
        <x:v>2026-10-09T00:00:00.000Z</x:v>
      </x:c>
    </x:row>
    <x:row r="50" ht="22" customHeight="1">
      <x:c r="A50" s="2" t="str">
        <x:v>AIG</x:v>
      </x:c>
      <x:c r="B50" s="2" t="n">
        <x:f>COUNTIFS('Purchases'!$C$7:$C$352,A50)</x:f>
        <x:v>2</x:v>
      </x:c>
      <x:c r="C50" s="11" t="n">
        <x:f>SUMIFS('Purchases'!$G$7:$G$352,'Purchases'!$C$7:$C$352,A50)</x:f>
        <x:v>2000</x:v>
      </x:c>
      <x:c r="D50" s="11" t="n">
        <x:f>SUMIFS('Purchases'!$I$7:$I$352,'Purchases'!$C$7:$C$352,A50)</x:f>
        <x:v>9386.364471410849</x:v>
      </x:c>
      <x:c r="E50" s="9" t="n">
        <x:f>D50/'Summary'!$C$10</x:f>
        <x:v>0.0011440553756864836</x:v>
      </x:c>
      <x:c r="F50" s="2" t="str">
        <x:v>current price</x:v>
      </x:c>
      <x:c r="G50" s="8" t="d">
        <x:v>2026-10-09T00:00:00.000Z</x:v>
      </x:c>
    </x:row>
    <x:row r="51" ht="22" customHeight="1">
      <x:c r="A51" s="2" t="str">
        <x:v>STZ</x:v>
      </x:c>
      <x:c r="B51" s="2" t="n">
        <x:f>COUNTIFS('Purchases'!$C$7:$C$352,A51)</x:f>
        <x:v>2</x:v>
      </x:c>
      <x:c r="C51" s="11" t="n">
        <x:f>SUMIFS('Purchases'!$G$7:$G$352,'Purchases'!$C$7:$C$352,A51)</x:f>
        <x:v>2000</x:v>
      </x:c>
      <x:c r="D51" s="11" t="n">
        <x:f>SUMIFS('Purchases'!$I$7:$I$352,'Purchases'!$C$7:$C$352,A51)</x:f>
        <x:v>8785.429294882728</x:v>
      </x:c>
      <x:c r="E51" s="9" t="n">
        <x:f>D51/'Summary'!$C$10</x:f>
        <x:v>0.0010708104978383976</x:v>
      </x:c>
      <x:c r="F51" s="2" t="str">
        <x:v>current price</x:v>
      </x:c>
      <x:c r="G51" s="8" t="d">
        <x:v>2026-10-09T00:00:00.000Z</x:v>
      </x:c>
    </x:row>
    <x:row r="52" ht="22" customHeight="1">
      <x:c r="A52" s="2" t="str">
        <x:v>PHM</x:v>
      </x:c>
      <x:c r="B52" s="2" t="n">
        <x:f>COUNTIFS('Purchases'!$C$7:$C$352,A52)</x:f>
        <x:v>1</x:v>
      </x:c>
      <x:c r="C52" s="11" t="n">
        <x:f>SUMIFS('Purchases'!$G$7:$G$352,'Purchases'!$C$7:$C$352,A52)</x:f>
        <x:v>1000</x:v>
      </x:c>
      <x:c r="D52" s="11" t="n">
        <x:f>SUMIFS('Purchases'!$I$7:$I$352,'Purchases'!$C$7:$C$352,A52)</x:f>
        <x:v>8557.111300787594</x:v>
      </x:c>
      <x:c r="E52" s="9" t="n">
        <x:f>D52/'Summary'!$C$10</x:f>
        <x:v>0.0010429819994558678</x:v>
      </x:c>
      <x:c r="F52" s="2" t="str">
        <x:v>current price</x:v>
      </x:c>
      <x:c r="G52" s="8" t="d">
        <x:v>2026-10-09T00:00:00.000Z</x:v>
      </x:c>
    </x:row>
    <x:row r="53" ht="22" customHeight="1">
      <x:c r="A53" s="2" t="str">
        <x:v>WDC</x:v>
      </x:c>
      <x:c r="B53" s="2" t="n">
        <x:f>COUNTIFS('Purchases'!$C$7:$C$352,A53)</x:f>
        <x:v>1</x:v>
      </x:c>
      <x:c r="C53" s="11" t="n">
        <x:f>SUMIFS('Purchases'!$G$7:$G$352,'Purchases'!$C$7:$C$352,A53)</x:f>
        <x:v>1000</x:v>
      </x:c>
      <x:c r="D53" s="11" t="n">
        <x:f>SUMIFS('Purchases'!$I$7:$I$352,'Purchases'!$C$7:$C$352,A53)</x:f>
        <x:v>8382.5441748719</x:v>
      </x:c>
      <x:c r="E53" s="9" t="n">
        <x:f>D53/'Summary'!$C$10</x:f>
        <x:v>0.0010217049161473852</x:v>
      </x:c>
      <x:c r="F53" s="2" t="str">
        <x:v>current price</x:v>
      </x:c>
      <x:c r="G53" s="8" t="d">
        <x:v>2026-10-09T00:00:00.000Z</x:v>
      </x:c>
    </x:row>
    <x:row r="54" ht="22" customHeight="1">
      <x:c r="A54" s="2" t="str">
        <x:v>SLM</x:v>
      </x:c>
      <x:c r="B54" s="2" t="n">
        <x:f>COUNTIFS('Purchases'!$C$7:$C$352,A54)</x:f>
        <x:v>1</x:v>
      </x:c>
      <x:c r="C54" s="11" t="n">
        <x:f>SUMIFS('Purchases'!$G$7:$G$352,'Purchases'!$C$7:$C$352,A54)</x:f>
        <x:v>1000</x:v>
      </x:c>
      <x:c r="D54" s="11" t="n">
        <x:f>SUMIFS('Purchases'!$I$7:$I$352,'Purchases'!$C$7:$C$352,A54)</x:f>
        <x:v>7721.644169194577</x:v>
      </x:c>
      <x:c r="E54" s="9" t="n">
        <x:f>D54/'Summary'!$C$10</x:f>
        <x:v>0.0009411512356900228</x:v>
      </x:c>
      <x:c r="F54" s="2" t="str">
        <x:v>current price</x:v>
      </x:c>
      <x:c r="G54" s="8" t="d">
        <x:v>2026-10-09T00:00:00.000Z</x:v>
      </x:c>
    </x:row>
    <x:row r="55" ht="22" customHeight="1">
      <x:c r="A55" s="2" t="str">
        <x:v>HON</x:v>
      </x:c>
      <x:c r="B55" s="2" t="n">
        <x:f>COUNTIFS('Purchases'!$C$7:$C$352,A55)</x:f>
        <x:v>1</x:v>
      </x:c>
      <x:c r="C55" s="11" t="n">
        <x:f>SUMIFS('Purchases'!$G$7:$G$352,'Purchases'!$C$7:$C$352,A55)</x:f>
        <x:v>1000</x:v>
      </x:c>
      <x:c r="D55" s="11" t="n">
        <x:f>SUMIFS('Purchases'!$I$7:$I$352,'Purchases'!$C$7:$C$352,A55)</x:f>
        <x:v>7702.287943714403</x:v>
      </x:c>
      <x:c r="E55" s="9" t="n">
        <x:f>D55/'Summary'!$C$10</x:f>
        <x:v>0.0009387920055662576</x:v>
      </x:c>
      <x:c r="F55" s="2" t="str">
        <x:v>current price</x:v>
      </x:c>
      <x:c r="G55" s="8" t="d">
        <x:v>2026-10-09T00:00:00.000Z</x:v>
      </x:c>
    </x:row>
    <x:row r="56" ht="22" customHeight="1">
      <x:c r="A56" s="2" t="str">
        <x:v>BBWI</x:v>
      </x:c>
      <x:c r="B56" s="2" t="n">
        <x:f>COUNTIFS('Purchases'!$C$7:$C$352,A56)</x:f>
        <x:v>4</x:v>
      </x:c>
      <x:c r="C56" s="11" t="n">
        <x:f>SUMIFS('Purchases'!$G$7:$G$352,'Purchases'!$C$7:$C$352,A56)</x:f>
        <x:v>4000</x:v>
      </x:c>
      <x:c r="D56" s="11" t="n">
        <x:f>SUMIFS('Purchases'!$I$7:$I$352,'Purchases'!$C$7:$C$352,A56)</x:f>
        <x:v>7484.039346303532</x:v>
      </x:c>
      <x:c r="E56" s="9" t="n">
        <x:f>D56/'Summary'!$C$10</x:f>
        <x:v>0.0009121908138200337</x:v>
      </x:c>
      <x:c r="F56" s="2" t="str">
        <x:v>current price</x:v>
      </x:c>
      <x:c r="G56" s="8" t="d">
        <x:v>2026-10-09T00:00:00.000Z</x:v>
      </x:c>
    </x:row>
    <x:row r="57" ht="22" customHeight="1">
      <x:c r="A57" s="2" t="str">
        <x:v>SCHW</x:v>
      </x:c>
      <x:c r="B57" s="2" t="n">
        <x:f>COUNTIFS('Purchases'!$C$7:$C$352,A57)</x:f>
        <x:v>1</x:v>
      </x:c>
      <x:c r="C57" s="11" t="n">
        <x:f>SUMIFS('Purchases'!$G$7:$G$352,'Purchases'!$C$7:$C$352,A57)</x:f>
        <x:v>1000</x:v>
      </x:c>
      <x:c r="D57" s="11" t="n">
        <x:f>SUMIFS('Purchases'!$I$7:$I$352,'Purchases'!$C$7:$C$352,A57)</x:f>
        <x:v>7196.782526385924</x:v>
      </x:c>
      <x:c r="E57" s="9" t="n">
        <x:f>D57/'Summary'!$C$10</x:f>
        <x:v>0.0008771785670624831</x:v>
      </x:c>
      <x:c r="F57" s="2" t="str">
        <x:v>current price</x:v>
      </x:c>
      <x:c r="G57" s="8" t="d">
        <x:v>2026-10-09T00:00:00.000Z</x:v>
      </x:c>
    </x:row>
    <x:row r="58" ht="22" customHeight="1">
      <x:c r="A58" s="2" t="str">
        <x:v>CEG</x:v>
      </x:c>
      <x:c r="B58" s="2" t="n">
        <x:f>COUNTIFS('Purchases'!$C$7:$C$352,A58)</x:f>
        <x:v>3</x:v>
      </x:c>
      <x:c r="C58" s="11" t="n">
        <x:f>SUMIFS('Purchases'!$G$7:$G$352,'Purchases'!$C$7:$C$352,A58)</x:f>
        <x:v>3000</x:v>
      </x:c>
      <x:c r="D58" s="11" t="n">
        <x:f>SUMIFS('Purchases'!$I$7:$I$352,'Purchases'!$C$7:$C$352,A58)</x:f>
        <x:v>6636.4708691920805</x:v>
      </x:c>
      <x:c r="E58" s="9" t="n">
        <x:f>D58/'Summary'!$C$10</x:f>
        <x:v>0.0008088850796931324</x:v>
      </x:c>
      <x:c r="F58" s="2" t="str">
        <x:v>current price</x:v>
      </x:c>
      <x:c r="G58" s="8" t="d">
        <x:v>2026-10-09T00:00:00.000Z</x:v>
      </x:c>
    </x:row>
    <x:row r="59" ht="22" customHeight="1">
      <x:c r="A59" s="2" t="str">
        <x:v>BIIB</x:v>
      </x:c>
      <x:c r="B59" s="2" t="n">
        <x:f>COUNTIFS('Purchases'!$C$7:$C$352,A59)</x:f>
        <x:v>4</x:v>
      </x:c>
      <x:c r="C59" s="11" t="n">
        <x:f>SUMIFS('Purchases'!$G$7:$G$352,'Purchases'!$C$7:$C$352,A59)</x:f>
        <x:v>4000</x:v>
      </x:c>
      <x:c r="D59" s="11" t="n">
        <x:f>SUMIFS('Purchases'!$I$7:$I$352,'Purchases'!$C$7:$C$352,A59)</x:f>
        <x:v>6286.494196004102</x:v>
      </x:c>
      <x:c r="E59" s="9" t="n">
        <x:f>D59/'Summary'!$C$10</x:f>
        <x:v>0.000766228234697916</x:v>
      </x:c>
      <x:c r="F59" s="2" t="str">
        <x:v>current price</x:v>
      </x:c>
      <x:c r="G59" s="8" t="d">
        <x:v>2026-10-09T00:00:00.000Z</x:v>
      </x:c>
    </x:row>
    <x:row r="60" ht="22" customHeight="1">
      <x:c r="A60" s="2" t="str">
        <x:v>MNST</x:v>
      </x:c>
      <x:c r="B60" s="2" t="n">
        <x:f>COUNTIFS('Purchases'!$C$7:$C$352,A60)</x:f>
        <x:v>1</x:v>
      </x:c>
      <x:c r="C60" s="11" t="n">
        <x:f>SUMIFS('Purchases'!$G$7:$G$352,'Purchases'!$C$7:$C$352,A60)</x:f>
        <x:v>1000</x:v>
      </x:c>
      <x:c r="D60" s="11" t="n">
        <x:f>SUMIFS('Purchases'!$I$7:$I$352,'Purchases'!$C$7:$C$352,A60)</x:f>
        <x:v>5897.297138783493</x:v>
      </x:c>
      <x:c r="E60" s="9" t="n">
        <x:f>D60/'Summary'!$C$10</x:f>
        <x:v>0.00071879102012237</x:v>
      </x:c>
      <x:c r="F60" s="2" t="str">
        <x:v>current price</x:v>
      </x:c>
      <x:c r="G60" s="8" t="d">
        <x:v>2026-10-09T00:00:00.000Z</x:v>
      </x:c>
    </x:row>
    <x:row r="61" ht="22" customHeight="1">
      <x:c r="A61" s="2" t="str">
        <x:v>VMC</x:v>
      </x:c>
      <x:c r="B61" s="2" t="n">
        <x:f>COUNTIFS('Purchases'!$C$7:$C$352,A61)</x:f>
        <x:v>1</x:v>
      </x:c>
      <x:c r="C61" s="11" t="n">
        <x:f>SUMIFS('Purchases'!$G$7:$G$352,'Purchases'!$C$7:$C$352,A61)</x:f>
        <x:v>1000</x:v>
      </x:c>
      <x:c r="D61" s="11" t="n">
        <x:f>SUMIFS('Purchases'!$I$7:$I$352,'Purchases'!$C$7:$C$352,A61)</x:f>
        <x:v>5717.033521776848</x:v>
      </x:c>
      <x:c r="E61" s="9" t="n">
        <x:f>D61/'Summary'!$C$10</x:f>
        <x:v>0.0006968196210034369</x:v>
      </x:c>
      <x:c r="F61" s="2" t="str">
        <x:v>current price</x:v>
      </x:c>
      <x:c r="G61" s="8" t="d">
        <x:v>2026-10-09T00:00:00.000Z</x:v>
      </x:c>
    </x:row>
    <x:row r="62" ht="22" customHeight="1">
      <x:c r="A62" s="2" t="str">
        <x:v>GS</x:v>
      </x:c>
      <x:c r="B62" s="2" t="n">
        <x:f>COUNTIFS('Purchases'!$C$7:$C$352,A62)</x:f>
        <x:v>1</x:v>
      </x:c>
      <x:c r="C62" s="11" t="n">
        <x:f>SUMIFS('Purchases'!$G$7:$G$352,'Purchases'!$C$7:$C$352,A62)</x:f>
        <x:v>1000</x:v>
      </x:c>
      <x:c r="D62" s="11" t="n">
        <x:f>SUMIFS('Purchases'!$I$7:$I$352,'Purchases'!$C$7:$C$352,A62)</x:f>
        <x:v>5714.07773365944</x:v>
      </x:c>
      <x:c r="E62" s="9" t="n">
        <x:f>D62/'Summary'!$C$10</x:f>
        <x:v>0.0006964593552908268</x:v>
      </x:c>
      <x:c r="F62" s="2" t="str">
        <x:v>current price</x:v>
      </x:c>
      <x:c r="G62" s="8" t="d">
        <x:v>2026-10-09T00:00:00.000Z</x:v>
      </x:c>
    </x:row>
    <x:row r="63" ht="22" customHeight="1">
      <x:c r="A63" s="2" t="str">
        <x:v>NC</x:v>
      </x:c>
      <x:c r="B63" s="2" t="n">
        <x:f>COUNTIFS('Purchases'!$C$7:$C$352,A63)</x:f>
        <x:v>1</x:v>
      </x:c>
      <x:c r="C63" s="11" t="n">
        <x:f>SUMIFS('Purchases'!$G$7:$G$352,'Purchases'!$C$7:$C$352,A63)</x:f>
        <x:v>1000</x:v>
      </x:c>
      <x:c r="D63" s="11" t="n">
        <x:f>SUMIFS('Purchases'!$I$7:$I$352,'Purchases'!$C$7:$C$352,A63)</x:f>
        <x:v>5556.5509467278225</x:v>
      </x:c>
      <x:c r="E63" s="9" t="n">
        <x:f>D63/'Summary'!$C$10</x:f>
        <x:v>0.0006772592306895873</x:v>
      </x:c>
      <x:c r="F63" s="2" t="str">
        <x:v>current price</x:v>
      </x:c>
      <x:c r="G63" s="8" t="d">
        <x:v>2026-10-09T00:00:00.000Z</x:v>
      </x:c>
    </x:row>
    <x:row r="64" ht="22" customHeight="1">
      <x:c r="A64" s="2" t="str">
        <x:v>VRTX</x:v>
      </x:c>
      <x:c r="B64" s="2" t="n">
        <x:f>COUNTIFS('Purchases'!$C$7:$C$352,A64)</x:f>
        <x:v>1</x:v>
      </x:c>
      <x:c r="C64" s="11" t="n">
        <x:f>SUMIFS('Purchases'!$G$7:$G$352,'Purchases'!$C$7:$C$352,A64)</x:f>
        <x:v>1000</x:v>
      </x:c>
      <x:c r="D64" s="11" t="n">
        <x:f>SUMIFS('Purchases'!$I$7:$I$352,'Purchases'!$C$7:$C$352,A64)</x:f>
        <x:v>5433.897641922412</x:v>
      </x:c>
      <x:c r="E64" s="9" t="n">
        <x:f>D64/'Summary'!$C$10</x:f>
        <x:v>0.0006623096542976052</x:v>
      </x:c>
      <x:c r="F64" s="2" t="str">
        <x:v>current price</x:v>
      </x:c>
      <x:c r="G64" s="8" t="d">
        <x:v>2026-10-09T00:00:00.000Z</x:v>
      </x:c>
    </x:row>
    <x:row r="65" ht="22" customHeight="1">
      <x:c r="A65" s="2" t="str">
        <x:v>APA</x:v>
      </x:c>
      <x:c r="B65" s="2" t="n">
        <x:f>COUNTIFS('Purchases'!$C$7:$C$352,A65)</x:f>
        <x:v>2</x:v>
      </x:c>
      <x:c r="C65" s="11" t="n">
        <x:f>SUMIFS('Purchases'!$G$7:$G$352,'Purchases'!$C$7:$C$352,A65)</x:f>
        <x:v>2000</x:v>
      </x:c>
      <x:c r="D65" s="11" t="n">
        <x:f>SUMIFS('Purchases'!$I$7:$I$352,'Purchases'!$C$7:$C$352,A65)</x:f>
        <x:v>5264.137792822002</x:v>
      </x:c>
      <x:c r="E65" s="9" t="n">
        <x:f>D65/'Summary'!$C$10</x:f>
        <x:v>0.0006416185050746454</x:v>
      </x:c>
      <x:c r="F65" s="2" t="str">
        <x:v>current price</x:v>
      </x:c>
      <x:c r="G65" s="8" t="d">
        <x:v>2026-10-09T00:00:00.000Z</x:v>
      </x:c>
    </x:row>
    <x:row r="66" ht="22" customHeight="1">
      <x:c r="A66" s="2" t="str">
        <x:v>ADM</x:v>
      </x:c>
      <x:c r="B66" s="2" t="n">
        <x:f>COUNTIFS('Purchases'!$C$7:$C$352,A66)</x:f>
        <x:v>1</x:v>
      </x:c>
      <x:c r="C66" s="11" t="n">
        <x:f>SUMIFS('Purchases'!$G$7:$G$352,'Purchases'!$C$7:$C$352,A66)</x:f>
        <x:v>1000</x:v>
      </x:c>
      <x:c r="D66" s="11" t="n">
        <x:f>SUMIFS('Purchases'!$I$7:$I$352,'Purchases'!$C$7:$C$352,A66)</x:f>
        <x:v>4873.492056101602</x:v>
      </x:c>
      <x:c r="E66" s="9" t="n">
        <x:f>D66/'Summary'!$C$10</x:f>
        <x:v>0.0005940047184541474</x:v>
      </x:c>
      <x:c r="F66" s="2" t="str">
        <x:v>current price</x:v>
      </x:c>
      <x:c r="G66" s="8" t="d">
        <x:v>2026-10-09T00:00:00.000Z</x:v>
      </x:c>
    </x:row>
    <x:row r="67" ht="22" customHeight="1">
      <x:c r="A67" s="2" t="str">
        <x:v>PLTR</x:v>
      </x:c>
      <x:c r="B67" s="2" t="n">
        <x:f>COUNTIFS('Purchases'!$C$7:$C$352,A67)</x:f>
        <x:v>2</x:v>
      </x:c>
      <x:c r="C67" s="11" t="n">
        <x:f>SUMIFS('Purchases'!$G$7:$G$352,'Purchases'!$C$7:$C$352,A67)</x:f>
        <x:v>2000</x:v>
      </x:c>
      <x:c r="D67" s="11" t="n">
        <x:f>SUMIFS('Purchases'!$I$7:$I$352,'Purchases'!$C$7:$C$352,A67)</x:f>
        <x:v>4841.295185630698</x:v>
      </x:c>
      <x:c r="E67" s="9" t="n">
        <x:f>D67/'Summary'!$C$10</x:f>
        <x:v>0.0005900804085837271</x:v>
      </x:c>
      <x:c r="F67" s="2" t="str">
        <x:v>current price</x:v>
      </x:c>
      <x:c r="G67" s="8" t="d">
        <x:v>2026-10-09T00:00:00.000Z</x:v>
      </x:c>
    </x:row>
    <x:row r="68" ht="22" customHeight="1">
      <x:c r="A68" s="2" t="str">
        <x:v>GNW</x:v>
      </x:c>
      <x:c r="B68" s="2" t="n">
        <x:f>COUNTIFS('Purchases'!$C$7:$C$352,A68)</x:f>
        <x:v>2</x:v>
      </x:c>
      <x:c r="C68" s="11" t="n">
        <x:f>SUMIFS('Purchases'!$G$7:$G$352,'Purchases'!$C$7:$C$352,A68)</x:f>
        <x:v>2000</x:v>
      </x:c>
      <x:c r="D68" s="11" t="n">
        <x:f>SUMIFS('Purchases'!$I$7:$I$352,'Purchases'!$C$7:$C$352,A68)</x:f>
        <x:v>4749.4100815118345</x:v>
      </x:c>
      <x:c r="E68" s="9" t="n">
        <x:f>D68/'Summary'!$C$10</x:f>
        <x:v>0.0005788810088978445</x:v>
      </x:c>
      <x:c r="F68" s="2" t="str">
        <x:v>current price</x:v>
      </x:c>
      <x:c r="G68" s="8" t="d">
        <x:v>2026-10-09T00:00:00.000Z</x:v>
      </x:c>
    </x:row>
    <x:row r="69" ht="22" customHeight="1">
      <x:c r="A69" s="2" t="str">
        <x:v>ANET</x:v>
      </x:c>
      <x:c r="B69" s="2" t="n">
        <x:f>COUNTIFS('Purchases'!$C$7:$C$352,A69)</x:f>
        <x:v>1</x:v>
      </x:c>
      <x:c r="C69" s="11" t="n">
        <x:f>SUMIFS('Purchases'!$G$7:$G$352,'Purchases'!$C$7:$C$352,A69)</x:f>
        <x:v>1000</x:v>
      </x:c>
      <x:c r="D69" s="11" t="n">
        <x:f>SUMIFS('Purchases'!$I$7:$I$352,'Purchases'!$C$7:$C$352,A69)</x:f>
        <x:v>4383.456503808898</x:v>
      </x:c>
      <x:c r="E69" s="9" t="n">
        <x:f>D69/'Summary'!$C$10</x:f>
        <x:v>0.0005342768217178194</x:v>
      </x:c>
      <x:c r="F69" s="2" t="str">
        <x:v>current price</x:v>
      </x:c>
      <x:c r="G69" s="8" t="d">
        <x:v>2026-10-09T00:00:00.000Z</x:v>
      </x:c>
    </x:row>
    <x:row r="70" ht="22" customHeight="1">
      <x:c r="A70" s="2" t="str">
        <x:v>INTC</x:v>
      </x:c>
      <x:c r="B70" s="2" t="n">
        <x:f>COUNTIFS('Purchases'!$C$7:$C$352,A70)</x:f>
        <x:v>2</x:v>
      </x:c>
      <x:c r="C70" s="11" t="n">
        <x:f>SUMIFS('Purchases'!$G$7:$G$352,'Purchases'!$C$7:$C$352,A70)</x:f>
        <x:v>2000</x:v>
      </x:c>
      <x:c r="D70" s="11" t="n">
        <x:f>SUMIFS('Purchases'!$I$7:$I$352,'Purchases'!$C$7:$C$352,A70)</x:f>
        <x:v>4379.965289434968</x:v>
      </x:c>
      <x:c r="E70" s="9" t="n">
        <x:f>D70/'Summary'!$C$10</x:f>
        <x:v>0.0005338512956705054</x:v>
      </x:c>
      <x:c r="F70" s="2" t="str">
        <x:v>current price</x:v>
      </x:c>
      <x:c r="G70" s="8" t="d">
        <x:v>2026-10-09T00:00:00.000Z</x:v>
      </x:c>
    </x:row>
    <x:row r="71" ht="22" customHeight="1">
      <x:c r="A71" s="2" t="str">
        <x:v>CF</x:v>
      </x:c>
      <x:c r="B71" s="2" t="n">
        <x:f>COUNTIFS('Purchases'!$C$7:$C$352,A71)</x:f>
        <x:v>1</x:v>
      </x:c>
      <x:c r="C71" s="11" t="n">
        <x:f>SUMIFS('Purchases'!$G$7:$G$352,'Purchases'!$C$7:$C$352,A71)</x:f>
        <x:v>1000</x:v>
      </x:c>
      <x:c r="D71" s="11" t="n">
        <x:f>SUMIFS('Purchases'!$I$7:$I$352,'Purchases'!$C$7:$C$352,A71)</x:f>
        <x:v>4364.828193045581</x:v>
      </x:c>
      <x:c r="E71" s="9" t="n">
        <x:f>D71/'Summary'!$C$10</x:f>
        <x:v>0.000532006313350747</x:v>
      </x:c>
      <x:c r="F71" s="2" t="str">
        <x:v>current price</x:v>
      </x:c>
      <x:c r="G71" s="8" t="d">
        <x:v>2026-10-09T00:00:00.000Z</x:v>
      </x:c>
    </x:row>
    <x:row r="72" ht="22" customHeight="1">
      <x:c r="A72" s="2" t="str">
        <x:v>RCL</x:v>
      </x:c>
      <x:c r="B72" s="2" t="n">
        <x:f>COUNTIFS('Purchases'!$C$7:$C$352,A72)</x:f>
        <x:v>1</x:v>
      </x:c>
      <x:c r="C72" s="11" t="n">
        <x:f>SUMIFS('Purchases'!$G$7:$G$352,'Purchases'!$C$7:$C$352,A72)</x:f>
        <x:v>1000</x:v>
      </x:c>
      <x:c r="D72" s="11" t="n">
        <x:f>SUMIFS('Purchases'!$I$7:$I$352,'Purchases'!$C$7:$C$352,A72)</x:f>
        <x:v>4358.442390832543</x:v>
      </x:c>
      <x:c r="E72" s="9" t="n">
        <x:f>D72/'Summary'!$C$10</x:f>
        <x:v>0.0005312279809759336</x:v>
      </x:c>
      <x:c r="F72" s="2" t="str">
        <x:v>current price</x:v>
      </x:c>
      <x:c r="G72" s="8" t="d">
        <x:v>2026-10-09T00:00:00.000Z</x:v>
      </x:c>
    </x:row>
    <x:row r="73" ht="22" customHeight="1">
      <x:c r="A73" s="2" t="str">
        <x:v>HIG</x:v>
      </x:c>
      <x:c r="B73" s="2" t="n">
        <x:f>COUNTIFS('Purchases'!$C$7:$C$352,A73)</x:f>
        <x:v>1</x:v>
      </x:c>
      <x:c r="C73" s="11" t="n">
        <x:f>SUMIFS('Purchases'!$G$7:$G$352,'Purchases'!$C$7:$C$352,A73)</x:f>
        <x:v>1000</x:v>
      </x:c>
      <x:c r="D73" s="11" t="n">
        <x:f>SUMIFS('Purchases'!$I$7:$I$352,'Purchases'!$C$7:$C$352,A73)</x:f>
        <x:v>4333.006117559869</x:v>
      </x:c>
      <x:c r="E73" s="9" t="n">
        <x:f>D73/'Summary'!$C$10</x:f>
        <x:v>0.000528127685300897</x:v>
      </x:c>
      <x:c r="F73" s="2" t="str">
        <x:v>current price</x:v>
      </x:c>
      <x:c r="G73" s="8" t="d">
        <x:v>2026-10-09T00:00:00.000Z</x:v>
      </x:c>
    </x:row>
    <x:row r="74" ht="22" customHeight="1">
      <x:c r="A74" s="2" t="str">
        <x:v>AKAM</x:v>
      </x:c>
      <x:c r="B74" s="2" t="n">
        <x:f>COUNTIFS('Purchases'!$C$7:$C$352,A74)</x:f>
        <x:v>2</x:v>
      </x:c>
      <x:c r="C74" s="11" t="n">
        <x:f>SUMIFS('Purchases'!$G$7:$G$352,'Purchases'!$C$7:$C$352,A74)</x:f>
        <x:v>2000</x:v>
      </x:c>
      <x:c r="D74" s="11" t="n">
        <x:f>SUMIFS('Purchases'!$I$7:$I$352,'Purchases'!$C$7:$C$352,A74)</x:f>
        <x:v>4309.8618315257145</x:v>
      </x:c>
      <x:c r="E74" s="9" t="n">
        <x:f>D74/'Summary'!$C$10</x:f>
        <x:v>0.0005253067480855939</x:v>
      </x:c>
      <x:c r="F74" s="2" t="str">
        <x:v>current price</x:v>
      </x:c>
      <x:c r="G74" s="8" t="d">
        <x:v>2026-10-09T00:00:00.000Z</x:v>
      </x:c>
    </x:row>
    <x:row r="75" ht="22" customHeight="1">
      <x:c r="A75" s="2" t="str">
        <x:v>OKE</x:v>
      </x:c>
      <x:c r="B75" s="2" t="n">
        <x:f>COUNTIFS('Purchases'!$C$7:$C$352,A75)</x:f>
        <x:v>1</x:v>
      </x:c>
      <x:c r="C75" s="11" t="n">
        <x:f>SUMIFS('Purchases'!$G$7:$G$352,'Purchases'!$C$7:$C$352,A75)</x:f>
        <x:v>1000</x:v>
      </x:c>
      <x:c r="D75" s="11" t="n">
        <x:f>SUMIFS('Purchases'!$I$7:$I$352,'Purchases'!$C$7:$C$352,A75)</x:f>
        <x:v>4139.605868917303</x:v>
      </x:c>
      <x:c r="E75" s="9" t="n">
        <x:f>D75/'Summary'!$C$10</x:f>
        <x:v>0.0005045551301553398</x:v>
      </x:c>
      <x:c r="F75" s="2" t="str">
        <x:v>current price</x:v>
      </x:c>
      <x:c r="G75" s="8" t="d">
        <x:v>2026-10-09T00:00:00.000Z</x:v>
      </x:c>
    </x:row>
    <x:row r="76" ht="22" customHeight="1">
      <x:c r="A76" s="2" t="str">
        <x:v>REGN</x:v>
      </x:c>
      <x:c r="B76" s="2" t="n">
        <x:f>COUNTIFS('Purchases'!$C$7:$C$352,A76)</x:f>
        <x:v>2</x:v>
      </x:c>
      <x:c r="C76" s="11" t="n">
        <x:f>SUMIFS('Purchases'!$G$7:$G$352,'Purchases'!$C$7:$C$352,A76)</x:f>
        <x:v>2000</x:v>
      </x:c>
      <x:c r="D76" s="11" t="n">
        <x:f>SUMIFS('Purchases'!$I$7:$I$352,'Purchases'!$C$7:$C$352,A76)</x:f>
        <x:v>4073.84266182296</x:v>
      </x:c>
      <x:c r="E76" s="9" t="n">
        <x:f>D76/'Summary'!$C$10</x:f>
        <x:v>0.0004965395932743862</x:v>
      </x:c>
      <x:c r="F76" s="2" t="str">
        <x:v>current price</x:v>
      </x:c>
      <x:c r="G76" s="8" t="d">
        <x:v>2026-10-09T00:00:00.000Z</x:v>
      </x:c>
    </x:row>
    <x:row r="77" ht="22" customHeight="1">
      <x:c r="A77" s="2" t="str">
        <x:v>ANF</x:v>
      </x:c>
      <x:c r="B77" s="2" t="n">
        <x:f>COUNTIFS('Purchases'!$C$7:$C$352,A77)</x:f>
        <x:v>1</x:v>
      </x:c>
      <x:c r="C77" s="11" t="n">
        <x:f>SUMIFS('Purchases'!$G$7:$G$352,'Purchases'!$C$7:$C$352,A77)</x:f>
        <x:v>1000</x:v>
      </x:c>
      <x:c r="D77" s="11" t="n">
        <x:f>SUMIFS('Purchases'!$I$7:$I$352,'Purchases'!$C$7:$C$352,A77)</x:f>
        <x:v>4073.33568976238</x:v>
      </x:c>
      <x:c r="E77" s="9" t="n">
        <x:f>D77/'Summary'!$C$10</x:f>
        <x:v>0.0004964778010743287</x:v>
      </x:c>
      <x:c r="F77" s="2" t="str">
        <x:v>current price</x:v>
      </x:c>
      <x:c r="G77" s="8" t="d">
        <x:v>2026-10-09T00:00:00.000Z</x:v>
      </x:c>
    </x:row>
    <x:row r="78" ht="22" customHeight="1">
      <x:c r="A78" s="2" t="str">
        <x:v>OXY</x:v>
      </x:c>
      <x:c r="B78" s="2" t="n">
        <x:f>COUNTIFS('Purchases'!$C$7:$C$352,A78)</x:f>
        <x:v>1</x:v>
      </x:c>
      <x:c r="C78" s="11" t="n">
        <x:f>SUMIFS('Purchases'!$G$7:$G$352,'Purchases'!$C$7:$C$352,A78)</x:f>
        <x:v>1000</x:v>
      </x:c>
      <x:c r="D78" s="11" t="n">
        <x:f>SUMIFS('Purchases'!$I$7:$I$352,'Purchases'!$C$7:$C$352,A78)</x:f>
        <x:v>4070.334647561267</x:v>
      </x:c>
      <x:c r="E78" s="9" t="n">
        <x:f>D78/'Summary'!$C$10</x:f>
        <x:v>0.0004961120195757195</x:v>
      </x:c>
      <x:c r="F78" s="2" t="str">
        <x:v>current price</x:v>
      </x:c>
      <x:c r="G78" s="8" t="d">
        <x:v>2026-10-09T00:00:00.000Z</x:v>
      </x:c>
    </x:row>
    <x:row r="79" ht="22" customHeight="1">
      <x:c r="A79" s="2" t="str">
        <x:v>CAR</x:v>
      </x:c>
      <x:c r="B79" s="2" t="n">
        <x:f>COUNTIFS('Purchases'!$C$7:$C$352,A79)</x:f>
        <x:v>1</x:v>
      </x:c>
      <x:c r="C79" s="11" t="n">
        <x:f>SUMIFS('Purchases'!$G$7:$G$352,'Purchases'!$C$7:$C$352,A79)</x:f>
        <x:v>1000</x:v>
      </x:c>
      <x:c r="D79" s="11" t="n">
        <x:f>SUMIFS('Purchases'!$I$7:$I$352,'Purchases'!$C$7:$C$352,A79)</x:f>
        <x:v>4008.312366841509</x:v>
      </x:c>
      <x:c r="E79" s="9" t="n">
        <x:f>D79/'Summary'!$C$10</x:f>
        <x:v>0.0004885524448451731</x:v>
      </x:c>
      <x:c r="F79" s="2" t="str">
        <x:v>current price</x:v>
      </x:c>
      <x:c r="G79" s="8" t="d">
        <x:v>2026-10-09T00:00:00.000Z</x:v>
      </x:c>
    </x:row>
    <x:row r="80" ht="22" customHeight="1">
      <x:c r="A80" s="2" t="str">
        <x:v>GME</x:v>
      </x:c>
      <x:c r="B80" s="2" t="n">
        <x:f>COUNTIFS('Purchases'!$C$7:$C$352,A80)</x:f>
        <x:v>1</x:v>
      </x:c>
      <x:c r="C80" s="11" t="n">
        <x:f>SUMIFS('Purchases'!$G$7:$G$352,'Purchases'!$C$7:$C$352,A80)</x:f>
        <x:v>1000</x:v>
      </x:c>
      <x:c r="D80" s="11" t="n">
        <x:f>SUMIFS('Purchases'!$I$7:$I$352,'Purchases'!$C$7:$C$352,A80)</x:f>
        <x:v>3551.0146422890725</x:v>
      </x:c>
      <x:c r="E80" s="9" t="n">
        <x:f>D80/'Summary'!$C$10</x:f>
        <x:v>0.0004328147924604928</x:v>
      </x:c>
      <x:c r="F80" s="2" t="str">
        <x:v>current price</x:v>
      </x:c>
      <x:c r="G80" s="8" t="d">
        <x:v>2026-10-09T00:00:00.000Z</x:v>
      </x:c>
    </x:row>
    <x:row r="81" ht="22" customHeight="1">
      <x:c r="A81" s="2" t="str">
        <x:v>GAP</x:v>
      </x:c>
      <x:c r="B81" s="2" t="n">
        <x:f>COUNTIFS('Purchases'!$C$7:$C$352,A81)</x:f>
        <x:v>2</x:v>
      </x:c>
      <x:c r="C81" s="11" t="n">
        <x:f>SUMIFS('Purchases'!$G$7:$G$352,'Purchases'!$C$7:$C$352,A81)</x:f>
        <x:v>2000</x:v>
      </x:c>
      <x:c r="D81" s="11" t="n">
        <x:f>SUMIFS('Purchases'!$I$7:$I$352,'Purchases'!$C$7:$C$352,A81)</x:f>
        <x:v>3392.006369826081</x:v>
      </x:c>
      <x:c r="E81" s="9" t="n">
        <x:f>D81/'Summary'!$C$10</x:f>
        <x:v>0.00041343409725693613</x:v>
      </x:c>
      <x:c r="F81" s="2" t="str">
        <x:v>current price</x:v>
      </x:c>
      <x:c r="G81" s="8" t="d">
        <x:v>2026-10-09T00:00:00.000Z</x:v>
      </x:c>
    </x:row>
    <x:row r="82" ht="22" customHeight="1">
      <x:c r="A82" s="2" t="str">
        <x:v>MDT</x:v>
      </x:c>
      <x:c r="B82" s="2" t="n">
        <x:f>COUNTIFS('Purchases'!$C$7:$C$352,A82)</x:f>
        <x:v>1</x:v>
      </x:c>
      <x:c r="C82" s="11" t="n">
        <x:f>SUMIFS('Purchases'!$G$7:$G$352,'Purchases'!$C$7:$C$352,A82)</x:f>
        <x:v>1000</x:v>
      </x:c>
      <x:c r="D82" s="11" t="n">
        <x:f>SUMIFS('Purchases'!$I$7:$I$352,'Purchases'!$C$7:$C$352,A82)</x:f>
        <x:v>3232.32091632449</x:v>
      </x:c>
      <x:c r="E82" s="9" t="n">
        <x:f>D82/'Summary'!$C$10</x:f>
        <x:v>0.00039397086396210016</x:v>
      </x:c>
      <x:c r="F82" s="2" t="str">
        <x:v>current price</x:v>
      </x:c>
      <x:c r="G82" s="8" t="d">
        <x:v>2026-10-09T00:00:00.000Z</x:v>
      </x:c>
    </x:row>
    <x:row r="83" ht="22" customHeight="1">
      <x:c r="A83" s="2" t="str">
        <x:v>FHN</x:v>
      </x:c>
      <x:c r="B83" s="2" t="n">
        <x:f>COUNTIFS('Purchases'!$C$7:$C$352,A83)</x:f>
        <x:v>1</x:v>
      </x:c>
      <x:c r="C83" s="11" t="n">
        <x:f>SUMIFS('Purchases'!$G$7:$G$352,'Purchases'!$C$7:$C$352,A83)</x:f>
        <x:v>1000</x:v>
      </x:c>
      <x:c r="D83" s="11" t="n">
        <x:f>SUMIFS('Purchases'!$I$7:$I$352,'Purchases'!$C$7:$C$352,A83)</x:f>
        <x:v>3100.5032455072105</x:v>
      </x:c>
      <x:c r="E83" s="9" t="n">
        <x:f>D83/'Summary'!$C$10</x:f>
        <x:v>0.00037790429043746133</x:v>
      </x:c>
      <x:c r="F83" s="2" t="str">
        <x:v>current price</x:v>
      </x:c>
      <x:c r="G83" s="8" t="d">
        <x:v>2026-10-09T00:00:00.000Z</x:v>
      </x:c>
    </x:row>
    <x:row r="84" ht="22" customHeight="1">
      <x:c r="A84" s="2" t="str">
        <x:v>DG</x:v>
      </x:c>
      <x:c r="B84" s="2" t="n">
        <x:f>COUNTIFS('Purchases'!$C$7:$C$352,A84)</x:f>
        <x:v>3</x:v>
      </x:c>
      <x:c r="C84" s="11" t="n">
        <x:f>SUMIFS('Purchases'!$G$7:$G$352,'Purchases'!$C$7:$C$352,A84)</x:f>
        <x:v>3000</x:v>
      </x:c>
      <x:c r="D84" s="11" t="n">
        <x:f>SUMIFS('Purchases'!$I$7:$I$352,'Purchases'!$C$7:$C$352,A84)</x:f>
        <x:v>3034.7827422628366</x:v>
      </x:c>
      <x:c r="E84" s="9" t="n">
        <x:f>D84/'Summary'!$C$10</x:f>
        <x:v>0.0003698939585077184</x:v>
      </x:c>
      <x:c r="F84" s="2" t="str">
        <x:v>current price</x:v>
      </x:c>
      <x:c r="G84" s="8" t="d">
        <x:v>2026-10-09T00:00:00.000Z</x:v>
      </x:c>
    </x:row>
    <x:row r="85" ht="22" customHeight="1">
      <x:c r="A85" s="2" t="str">
        <x:v>F</x:v>
      </x:c>
      <x:c r="B85" s="2" t="n">
        <x:f>COUNTIFS('Purchases'!$C$7:$C$352,A85)</x:f>
        <x:v>1</x:v>
      </x:c>
      <x:c r="C85" s="11" t="n">
        <x:f>SUMIFS('Purchases'!$G$7:$G$352,'Purchases'!$C$7:$C$352,A85)</x:f>
        <x:v>1000</x:v>
      </x:c>
      <x:c r="D85" s="11" t="n">
        <x:f>SUMIFS('Purchases'!$I$7:$I$352,'Purchases'!$C$7:$C$352,A85)</x:f>
        <x:v>2956.156058419704</x:v>
      </x:c>
      <x:c r="E85" s="9" t="n">
        <x:f>D85/'Summary'!$C$10</x:f>
        <x:v>0.00036031055903531156</x:v>
      </x:c>
      <x:c r="F85" s="2" t="str">
        <x:v>current price</x:v>
      </x:c>
      <x:c r="G85" s="8" t="d">
        <x:v>2026-10-09T00:00:00.000Z</x:v>
      </x:c>
    </x:row>
    <x:row r="86" ht="22" customHeight="1">
      <x:c r="A86" s="2" t="str">
        <x:v>GLW</x:v>
      </x:c>
      <x:c r="B86" s="2" t="n">
        <x:f>COUNTIFS('Purchases'!$C$7:$C$352,A86)</x:f>
        <x:v>1</x:v>
      </x:c>
      <x:c r="C86" s="11" t="n">
        <x:f>SUMIFS('Purchases'!$G$7:$G$352,'Purchases'!$C$7:$C$352,A86)</x:f>
        <x:v>1000</x:v>
      </x:c>
      <x:c r="D86" s="11" t="n">
        <x:f>SUMIFS('Purchases'!$I$7:$I$352,'Purchases'!$C$7:$C$352,A86)</x:f>
        <x:v>2691.326858149642</x:v>
      </x:c>
      <x:c r="E86" s="9" t="n">
        <x:f>D86/'Summary'!$C$10</x:f>
        <x:v>0.0003280318987371166</x:v>
      </x:c>
      <x:c r="F86" s="2" t="str">
        <x:v>current price</x:v>
      </x:c>
      <x:c r="G86" s="8" t="d">
        <x:v>2026-10-09T00:00:00.000Z</x:v>
      </x:c>
    </x:row>
    <x:row r="87" ht="22" customHeight="1">
      <x:c r="A87" s="2" t="str">
        <x:v>SNDK</x:v>
      </x:c>
      <x:c r="B87" s="2" t="n">
        <x:f>COUNTIFS('Purchases'!$C$7:$C$352,A87)</x:f>
        <x:v>1</x:v>
      </x:c>
      <x:c r="C87" s="11" t="n">
        <x:f>SUMIFS('Purchases'!$G$7:$G$352,'Purchases'!$C$7:$C$352,A87)</x:f>
        <x:v>1000</x:v>
      </x:c>
      <x:c r="D87" s="11" t="n">
        <x:f>SUMIFS('Purchases'!$I$7:$I$352,'Purchases'!$C$7:$C$352,A87)</x:f>
        <x:v>2686.469239394153</x:v>
      </x:c>
      <x:c r="E87" s="9" t="n">
        <x:f>D87/'Summary'!$C$10</x:f>
        <x:v>0.00032743982873310396</x:v>
      </x:c>
      <x:c r="F87" s="2" t="str">
        <x:v>current price</x:v>
      </x:c>
      <x:c r="G87" s="8" t="d">
        <x:v>2026-10-09T00:00:00.000Z</x:v>
      </x:c>
    </x:row>
    <x:row r="88" ht="22" customHeight="1">
      <x:c r="A88" s="2" t="str">
        <x:v>FITB</x:v>
      </x:c>
      <x:c r="B88" s="2" t="n">
        <x:f>COUNTIFS('Purchases'!$C$7:$C$352,A88)</x:f>
        <x:v>1</x:v>
      </x:c>
      <x:c r="C88" s="11" t="n">
        <x:f>SUMIFS('Purchases'!$G$7:$G$352,'Purchases'!$C$7:$C$352,A88)</x:f>
        <x:v>1000</x:v>
      </x:c>
      <x:c r="D88" s="11" t="n">
        <x:f>SUMIFS('Purchases'!$I$7:$I$352,'Purchases'!$C$7:$C$352,A88)</x:f>
        <x:v>2684.7648040318277</x:v>
      </x:c>
      <x:c r="E88" s="9" t="n">
        <x:f>D88/'Summary'!$C$10</x:f>
        <x:v>0.0003272320839300209</x:v>
      </x:c>
      <x:c r="F88" s="2" t="str">
        <x:v>current price</x:v>
      </x:c>
      <x:c r="G88" s="8" t="d">
        <x:v>2026-10-09T00:00:00.000Z</x:v>
      </x:c>
    </x:row>
    <x:row r="89" ht="22" customHeight="1">
      <x:c r="A89" s="2" t="str">
        <x:v>PCG</x:v>
      </x:c>
      <x:c r="B89" s="2" t="n">
        <x:f>COUNTIFS('Purchases'!$C$7:$C$352,A89)</x:f>
        <x:v>2</x:v>
      </x:c>
      <x:c r="C89" s="11" t="n">
        <x:f>SUMIFS('Purchases'!$G$7:$G$352,'Purchases'!$C$7:$C$352,A89)</x:f>
        <x:v>2000</x:v>
      </x:c>
      <x:c r="D89" s="11" t="n">
        <x:f>SUMIFS('Purchases'!$I$7:$I$352,'Purchases'!$C$7:$C$352,A89)</x:f>
        <x:v>2498.249387429838</x:v>
      </x:c>
      <x:c r="E89" s="9" t="n">
        <x:f>D89/'Summary'!$C$10</x:f>
        <x:v>0.00030449868532166313</x:v>
      </x:c>
      <x:c r="F89" s="2" t="str">
        <x:v>current price</x:v>
      </x:c>
      <x:c r="G89" s="8" t="d">
        <x:v>2026-10-09T00:00:00.000Z</x:v>
      </x:c>
    </x:row>
    <x:row r="90" ht="22" customHeight="1">
      <x:c r="A90" s="2" t="str">
        <x:v>ALB</x:v>
      </x:c>
      <x:c r="B90" s="2" t="n">
        <x:f>COUNTIFS('Purchases'!$C$7:$C$352,A90)</x:f>
        <x:v>3</x:v>
      </x:c>
      <x:c r="C90" s="11" t="n">
        <x:f>SUMIFS('Purchases'!$G$7:$G$352,'Purchases'!$C$7:$C$352,A90)</x:f>
        <x:v>3000</x:v>
      </x:c>
      <x:c r="D90" s="11" t="n">
        <x:f>SUMIFS('Purchases'!$I$7:$I$352,'Purchases'!$C$7:$C$352,A90)</x:f>
        <x:v>2478.183748318509</x:v>
      </x:c>
      <x:c r="E90" s="9" t="n">
        <x:f>D90/'Summary'!$C$10</x:f>
        <x:v>0.0003020529884427681</x:v>
      </x:c>
      <x:c r="F90" s="2" t="str">
        <x:v>current price</x:v>
      </x:c>
      <x:c r="G90" s="8" t="d">
        <x:v>2026-10-09T00:00:00.000Z</x:v>
      </x:c>
    </x:row>
    <x:row r="91" ht="22" customHeight="1">
      <x:c r="A91" s="2" t="str">
        <x:v>VTRS</x:v>
      </x:c>
      <x:c r="B91" s="2" t="n">
        <x:f>COUNTIFS('Purchases'!$C$7:$C$352,A91)</x:f>
        <x:v>2</x:v>
      </x:c>
      <x:c r="C91" s="11" t="n">
        <x:f>SUMIFS('Purchases'!$G$7:$G$352,'Purchases'!$C$7:$C$352,A91)</x:f>
        <x:v>2000</x:v>
      </x:c>
      <x:c r="D91" s="11" t="n">
        <x:f>SUMIFS('Purchases'!$I$7:$I$352,'Purchases'!$C$7:$C$352,A91)</x:f>
        <x:v>2292.428229225872</x:v>
      </x:c>
      <x:c r="E91" s="9" t="n">
        <x:f>D91/'Summary'!$C$10</x:f>
        <x:v>0.00027941220980811726</x:v>
      </x:c>
      <x:c r="F91" s="2" t="str">
        <x:v>current price</x:v>
      </x:c>
      <x:c r="G91" s="8" t="d">
        <x:v>2026-10-09T00:00:00.000Z</x:v>
      </x:c>
    </x:row>
    <x:row r="92" ht="22" customHeight="1">
      <x:c r="A92" s="2" t="str">
        <x:v>MRNA</x:v>
      </x:c>
      <x:c r="B92" s="2" t="n">
        <x:f>COUNTIFS('Purchases'!$C$7:$C$352,A92)</x:f>
        <x:v>2</x:v>
      </x:c>
      <x:c r="C92" s="11" t="n">
        <x:f>SUMIFS('Purchases'!$G$7:$G$352,'Purchases'!$C$7:$C$352,A92)</x:f>
        <x:v>2000</x:v>
      </x:c>
      <x:c r="D92" s="11" t="n">
        <x:f>SUMIFS('Purchases'!$I$7:$I$352,'Purchases'!$C$7:$C$352,A92)</x:f>
        <x:v>2229.27807486631</x:v>
      </x:c>
      <x:c r="E92" s="9" t="n">
        <x:f>D92/'Summary'!$C$10</x:f>
        <x:v>0.00027171516439819944</x:v>
      </x:c>
      <x:c r="F92" s="2" t="str">
        <x:v>current price</x:v>
      </x:c>
      <x:c r="G92" s="8" t="d">
        <x:v>2026-10-09T00:00:00.000Z</x:v>
      </x:c>
    </x:row>
    <x:row r="93" ht="22" customHeight="1">
      <x:c r="A93" s="2" t="str">
        <x:v>ILMN</x:v>
      </x:c>
      <x:c r="B93" s="2" t="n">
        <x:f>COUNTIFS('Purchases'!$C$7:$C$352,A93)</x:f>
        <x:v>1</x:v>
      </x:c>
      <x:c r="C93" s="11" t="n">
        <x:f>SUMIFS('Purchases'!$G$7:$G$352,'Purchases'!$C$7:$C$352,A93)</x:f>
        <x:v>1000</x:v>
      </x:c>
      <x:c r="D93" s="11" t="n">
        <x:f>SUMIFS('Purchases'!$I$7:$I$352,'Purchases'!$C$7:$C$352,A93)</x:f>
        <x:v>2073.817984670569</x:v>
      </x:c>
      <x:c r="E93" s="9" t="n">
        <x:f>D93/'Summary'!$C$10</x:f>
        <x:v>0.00025276693876357206</x:v>
      </x:c>
      <x:c r="F93" s="2" t="str">
        <x:v>current price</x:v>
      </x:c>
      <x:c r="G93" s="8" t="d">
        <x:v>2026-10-09T00:00:00.000Z</x:v>
      </x:c>
    </x:row>
    <x:row r="94" ht="22" customHeight="1">
      <x:c r="A94" s="2" t="str">
        <x:v>EL</x:v>
      </x:c>
      <x:c r="B94" s="2" t="n">
        <x:f>COUNTIFS('Purchases'!$C$7:$C$352,A94)</x:f>
        <x:v>1</x:v>
      </x:c>
      <x:c r="C94" s="11" t="n">
        <x:f>SUMIFS('Purchases'!$G$7:$G$352,'Purchases'!$C$7:$C$352,A94)</x:f>
        <x:v>1000</x:v>
      </x:c>
      <x:c r="D94" s="11" t="n">
        <x:f>SUMIFS('Purchases'!$I$7:$I$352,'Purchases'!$C$7:$C$352,A94)</x:f>
        <x:v>2016.8561457103024</x:v>
      </x:c>
      <x:c r="E94" s="9" t="n">
        <x:f>D94/'Summary'!$C$10</x:f>
        <x:v>0.00024582415508305665</x:v>
      </x:c>
      <x:c r="F94" s="2" t="str">
        <x:v>current price</x:v>
      </x:c>
      <x:c r="G94" s="8" t="d">
        <x:v>2026-10-09T00:00:00.000Z</x:v>
      </x:c>
    </x:row>
    <x:row r="95" ht="22" customHeight="1">
      <x:c r="A95" s="2" t="str">
        <x:v>SIG</x:v>
      </x:c>
      <x:c r="B95" s="2" t="n">
        <x:f>COUNTIFS('Purchases'!$C$7:$C$352,A95)</x:f>
        <x:v>1</x:v>
      </x:c>
      <x:c r="C95" s="11" t="n">
        <x:f>SUMIFS('Purchases'!$G$7:$G$352,'Purchases'!$C$7:$C$352,A95)</x:f>
        <x:v>1000</x:v>
      </x:c>
      <x:c r="D95" s="11" t="n">
        <x:f>SUMIFS('Purchases'!$I$7:$I$352,'Purchases'!$C$7:$C$352,A95)</x:f>
        <x:v>1988.7032086445886</x:v>
      </x:c>
      <x:c r="E95" s="9" t="n">
        <x:f>D95/'Summary'!$C$10</x:f>
        <x:v>0.000242392739321449</x:v>
      </x:c>
      <x:c r="F95" s="2" t="str">
        <x:v>current price</x:v>
      </x:c>
      <x:c r="G95" s="8" t="d">
        <x:v>2026-10-09T00:00:00.000Z</x:v>
      </x:c>
    </x:row>
    <x:row r="96" ht="22" customHeight="1">
      <x:c r="A96" s="2" t="str">
        <x:v>GE</x:v>
      </x:c>
      <x:c r="B96" s="2" t="n">
        <x:f>COUNTIFS('Purchases'!$C$7:$C$352,A96)</x:f>
        <x:v>1</x:v>
      </x:c>
      <x:c r="C96" s="11" t="n">
        <x:f>SUMIFS('Purchases'!$G$7:$G$352,'Purchases'!$C$7:$C$352,A96)</x:f>
        <x:v>1000</x:v>
      </x:c>
      <x:c r="D96" s="11" t="n">
        <x:f>SUMIFS('Purchases'!$I$7:$I$352,'Purchases'!$C$7:$C$352,A96)</x:f>
        <x:v>1923.8769464185993</x:v>
      </x:c>
      <x:c r="E96" s="9" t="n">
        <x:f>D96/'Summary'!$C$10</x:f>
        <x:v>0.0002344914018002823</x:v>
      </x:c>
      <x:c r="F96" s="2" t="str">
        <x:v>current price</x:v>
      </x:c>
      <x:c r="G96" s="8" t="d">
        <x:v>2026-10-09T00:00:00.000Z</x:v>
      </x:c>
    </x:row>
    <x:row r="97" ht="22" customHeight="1">
      <x:c r="A97" s="2" t="str">
        <x:v>CI</x:v>
      </x:c>
      <x:c r="B97" s="2" t="n">
        <x:f>COUNTIFS('Purchases'!$C$7:$C$352,A97)</x:f>
        <x:v>1</x:v>
      </x:c>
      <x:c r="C97" s="11" t="n">
        <x:f>SUMIFS('Purchases'!$G$7:$G$352,'Purchases'!$C$7:$C$352,A97)</x:f>
        <x:v>1000</x:v>
      </x:c>
      <x:c r="D97" s="11" t="n">
        <x:f>SUMIFS('Purchases'!$I$7:$I$352,'Purchases'!$C$7:$C$352,A97)</x:f>
        <x:v>1919.1537494835293</x:v>
      </x:c>
      <x:c r="E97" s="9" t="n">
        <x:f>D97/'Summary'!$C$10</x:f>
        <x:v>0.00023391571577610848</x:v>
      </x:c>
      <x:c r="F97" s="2" t="str">
        <x:v>current price</x:v>
      </x:c>
      <x:c r="G97" s="8" t="d">
        <x:v>2026-10-09T00:00:00.000Z</x:v>
      </x:c>
    </x:row>
    <x:row r="98" ht="22" customHeight="1">
      <x:c r="A98" s="2" t="str">
        <x:v>ALL</x:v>
      </x:c>
      <x:c r="B98" s="2" t="n">
        <x:f>COUNTIFS('Purchases'!$C$7:$C$352,A98)</x:f>
        <x:v>1</x:v>
      </x:c>
      <x:c r="C98" s="11" t="n">
        <x:f>SUMIFS('Purchases'!$G$7:$G$352,'Purchases'!$C$7:$C$352,A98)</x:f>
        <x:v>1000</x:v>
      </x:c>
      <x:c r="D98" s="11" t="n">
        <x:f>SUMIFS('Purchases'!$I$7:$I$352,'Purchases'!$C$7:$C$352,A98)</x:f>
        <x:v>1890.6571974101194</x:v>
      </x:c>
      <x:c r="E98" s="9" t="n">
        <x:f>D98/'Summary'!$C$10</x:f>
        <x:v>0.00023044241855998046</x:v>
      </x:c>
      <x:c r="F98" s="2" t="str">
        <x:v>current price</x:v>
      </x:c>
      <x:c r="G98" s="8" t="d">
        <x:v>2026-10-09T00:00:00.000Z</x:v>
      </x:c>
    </x:row>
    <x:row r="99" ht="22" customHeight="1">
      <x:c r="A99" s="2" t="str">
        <x:v>TGT</x:v>
      </x:c>
      <x:c r="B99" s="2" t="n">
        <x:f>COUNTIFS('Purchases'!$C$7:$C$352,A99)</x:f>
        <x:v>1</x:v>
      </x:c>
      <x:c r="C99" s="11" t="n">
        <x:f>SUMIFS('Purchases'!$G$7:$G$352,'Purchases'!$C$7:$C$352,A99)</x:f>
        <x:v>1000</x:v>
      </x:c>
      <x:c r="D99" s="11" t="n">
        <x:f>SUMIFS('Purchases'!$I$7:$I$352,'Purchases'!$C$7:$C$352,A99)</x:f>
        <x:v>1743.4352204662096</x:v>
      </x:c>
      <x:c r="E99" s="9" t="n">
        <x:f>D99/'Summary'!$C$10</x:f>
        <x:v>0.0002124982939039564</x:v>
      </x:c>
      <x:c r="F99" s="2" t="str">
        <x:v>current price</x:v>
      </x:c>
      <x:c r="G99" s="8" t="d">
        <x:v>2026-10-09T00:00:00.000Z</x:v>
      </x:c>
    </x:row>
    <x:row r="100" ht="22" customHeight="1">
      <x:c r="A100" s="2" t="str">
        <x:v>EQT</x:v>
      </x:c>
      <x:c r="B100" s="2" t="n">
        <x:f>COUNTIFS('Purchases'!$C$7:$C$352,A100)</x:f>
        <x:v>1</x:v>
      </x:c>
      <x:c r="C100" s="11" t="n">
        <x:f>SUMIFS('Purchases'!$G$7:$G$352,'Purchases'!$C$7:$C$352,A100)</x:f>
        <x:v>1000</x:v>
      </x:c>
      <x:c r="D100" s="11" t="n">
        <x:f>SUMIFS('Purchases'!$I$7:$I$352,'Purchases'!$C$7:$C$352,A100)</x:f>
        <x:v>1696.0629949551194</x:v>
      </x:c>
      <x:c r="E100" s="9" t="n">
        <x:f>D100/'Summary'!$C$10</x:f>
        <x:v>0.00020672433856488263</x:v>
      </x:c>
      <x:c r="F100" s="2" t="str">
        <x:v>current price</x:v>
      </x:c>
      <x:c r="G100" s="8" t="d">
        <x:v>2026-10-09T00:00:00.000Z</x:v>
      </x:c>
    </x:row>
    <x:row r="101" ht="22" customHeight="1">
      <x:c r="A101" s="2" t="str">
        <x:v>RHI</x:v>
      </x:c>
      <x:c r="B101" s="2" t="n">
        <x:f>COUNTIFS('Purchases'!$C$7:$C$352,A101)</x:f>
        <x:v>1</x:v>
      </x:c>
      <x:c r="C101" s="11" t="n">
        <x:f>SUMIFS('Purchases'!$G$7:$G$352,'Purchases'!$C$7:$C$352,A101)</x:f>
        <x:v>1000</x:v>
      </x:c>
      <x:c r="D101" s="11" t="n">
        <x:f>SUMIFS('Purchases'!$I$7:$I$352,'Purchases'!$C$7:$C$352,A101)</x:f>
        <x:v>1634.4221200531128</x:v>
      </x:c>
      <x:c r="E101" s="9" t="n">
        <x:f>D101/'Summary'!$C$10</x:f>
        <x:v>0.0001992112514150653</x:v>
      </x:c>
      <x:c r="F101" s="2" t="str">
        <x:v>current price</x:v>
      </x:c>
      <x:c r="G101" s="8" t="d">
        <x:v>2026-10-09T00:00:00.000Z</x:v>
      </x:c>
    </x:row>
    <x:row r="102" ht="22" customHeight="1">
      <x:c r="A102" s="2" t="str">
        <x:v>CCL</x:v>
      </x:c>
      <x:c r="B102" s="2" t="n">
        <x:f>COUNTIFS('Purchases'!$C$7:$C$352,A102)</x:f>
        <x:v>1</x:v>
      </x:c>
      <x:c r="C102" s="11" t="n">
        <x:f>SUMIFS('Purchases'!$G$7:$G$352,'Purchases'!$C$7:$C$352,A102)</x:f>
        <x:v>1000</x:v>
      </x:c>
      <x:c r="D102" s="11" t="n">
        <x:f>SUMIFS('Purchases'!$I$7:$I$352,'Purchases'!$C$7:$C$352,A102)</x:f>
        <x:v>1443.311919978812</x:v>
      </x:c>
      <x:c r="E102" s="9" t="n">
        <x:f>D102/'Summary'!$C$10</x:f>
        <x:v>0.00017591781843476044</x:v>
      </x:c>
      <x:c r="F102" s="2" t="str">
        <x:v>current price</x:v>
      </x:c>
      <x:c r="G102" s="8" t="d">
        <x:v>2026-10-09T00:00:00.000Z</x:v>
      </x:c>
    </x:row>
    <x:row r="103" ht="22" customHeight="1">
      <x:c r="A103" s="2" t="str">
        <x:v>VST</x:v>
      </x:c>
      <x:c r="B103" s="2" t="n">
        <x:f>COUNTIFS('Purchases'!$C$7:$C$352,A103)</x:f>
        <x:v>1</x:v>
      </x:c>
      <x:c r="C103" s="11" t="n">
        <x:f>SUMIFS('Purchases'!$G$7:$G$352,'Purchases'!$C$7:$C$352,A103)</x:f>
        <x:v>1000</x:v>
      </x:c>
      <x:c r="D103" s="11" t="n">
        <x:f>SUMIFS('Purchases'!$I$7:$I$352,'Purchases'!$C$7:$C$352,A103)</x:f>
        <x:v>1384.2763572522765</x:v>
      </x:c>
      <x:c r="E103" s="9" t="n">
        <x:f>D103/'Summary'!$C$10</x:f>
        <x:v>0.0001687222792992747</x:v>
      </x:c>
      <x:c r="F103" s="2" t="str">
        <x:v>current price</x:v>
      </x:c>
      <x:c r="G103" s="8" t="d">
        <x:v>2026-10-09T00:00:00.000Z</x:v>
      </x:c>
    </x:row>
    <x:row r="104" ht="22" customHeight="1">
      <x:c r="A104" s="2" t="str">
        <x:v>DELL</x:v>
      </x:c>
      <x:c r="B104" s="2" t="n">
        <x:f>COUNTIFS('Purchases'!$C$7:$C$352,A104)</x:f>
        <x:v>1</x:v>
      </x:c>
      <x:c r="C104" s="11" t="n">
        <x:f>SUMIFS('Purchases'!$G$7:$G$352,'Purchases'!$C$7:$C$352,A104)</x:f>
        <x:v>1000</x:v>
      </x:c>
      <x:c r="D104" s="11" t="n">
        <x:f>SUMIFS('Purchases'!$I$7:$I$352,'Purchases'!$C$7:$C$352,A104)</x:f>
        <x:v>1377.5160062926147</x:v>
      </x:c>
      <x:c r="E104" s="9" t="n">
        <x:f>D104/'Summary'!$C$10</x:f>
        <x:v>0.0001678982951166356</x:v>
      </x:c>
      <x:c r="F104" s="2" t="str">
        <x:v>current price</x:v>
      </x:c>
      <x:c r="G104" s="8" t="d">
        <x:v>2026-10-09T00:00:00.000Z</x:v>
      </x:c>
    </x:row>
    <x:row r="105" ht="22" customHeight="1">
      <x:c r="A105" s="2" t="str">
        <x:v>UAL</x:v>
      </x:c>
      <x:c r="B105" s="2" t="n">
        <x:f>COUNTIFS('Purchases'!$C$7:$C$352,A105)</x:f>
        <x:v>1</x:v>
      </x:c>
      <x:c r="C105" s="11" t="n">
        <x:f>SUMIFS('Purchases'!$G$7:$G$352,'Purchases'!$C$7:$C$352,A105)</x:f>
        <x:v>1000</x:v>
      </x:c>
      <x:c r="D105" s="11" t="n">
        <x:f>SUMIFS('Purchases'!$I$7:$I$352,'Purchases'!$C$7:$C$352,A105)</x:f>
        <x:v>1356.9894654760187</x:v>
      </x:c>
      <x:c r="E105" s="9" t="n">
        <x:f>D105/'Summary'!$C$10</x:f>
        <x:v>0.00016539642131480303</x:v>
      </x:c>
      <x:c r="F105" s="2" t="str">
        <x:v>current price</x:v>
      </x:c>
      <x:c r="G105" s="8" t="d">
        <x:v>2026-10-09T00:00:00.000Z</x:v>
      </x:c>
    </x:row>
    <x:row r="106" ht="22" customHeight="1">
      <x:c r="A106" s="2" t="str">
        <x:v>UHS</x:v>
      </x:c>
      <x:c r="B106" s="2" t="n">
        <x:f>COUNTIFS('Purchases'!$C$7:$C$352,A106)</x:f>
        <x:v>1</x:v>
      </x:c>
      <x:c r="C106" s="11" t="n">
        <x:f>SUMIFS('Purchases'!$G$7:$G$352,'Purchases'!$C$7:$C$352,A106)</x:f>
        <x:v>1000</x:v>
      </x:c>
      <x:c r="D106" s="11" t="n">
        <x:f>SUMIFS('Purchases'!$I$7:$I$352,'Purchases'!$C$7:$C$352,A106)</x:f>
        <x:v>1266.5066839566105</x:v>
      </x:c>
      <x:c r="E106" s="9" t="n">
        <x:f>D106/'Summary'!$C$10</x:f>
        <x:v>0.00015436794347126315</x:v>
      </x:c>
      <x:c r="F106" s="2" t="str">
        <x:v>current price</x:v>
      </x:c>
      <x:c r="G106" s="8" t="d">
        <x:v>2026-10-09T00:00:00.000Z</x:v>
      </x:c>
    </x:row>
    <x:row r="107" ht="22" customHeight="1">
      <x:c r="A107" s="2" t="str">
        <x:v>GNRC</x:v>
      </x:c>
      <x:c r="B107" s="2" t="n">
        <x:f>COUNTIFS('Purchases'!$C$7:$C$352,A107)</x:f>
        <x:v>1</x:v>
      </x:c>
      <x:c r="C107" s="11" t="n">
        <x:f>SUMIFS('Purchases'!$G$7:$G$352,'Purchases'!$C$7:$C$352,A107)</x:f>
        <x:v>1000</x:v>
      </x:c>
      <x:c r="D107" s="11" t="n">
        <x:f>SUMIFS('Purchases'!$I$7:$I$352,'Purchases'!$C$7:$C$352,A107)</x:f>
        <x:v>1187.9587810388148</x:v>
      </x:c>
      <x:c r="E107" s="9" t="n">
        <x:f>D107/'Summary'!$C$10</x:f>
        <x:v>0.0001447941461980259</x:v>
      </x:c>
      <x:c r="F107" s="2" t="str">
        <x:v>current price</x:v>
      </x:c>
      <x:c r="G107" s="8" t="d">
        <x:v>2026-10-09T00:00:00.000Z</x:v>
      </x:c>
    </x:row>
    <x:row r="108" ht="22" customHeight="1">
      <x:c r="A108" s="2" t="str">
        <x:v>HAL</x:v>
      </x:c>
      <x:c r="B108" s="2" t="n">
        <x:f>COUNTIFS('Purchases'!$C$7:$C$352,A108)</x:f>
        <x:v>1</x:v>
      </x:c>
      <x:c r="C108" s="11" t="n">
        <x:f>SUMIFS('Purchases'!$G$7:$G$352,'Purchases'!$C$7:$C$352,A108)</x:f>
        <x:v>1000</x:v>
      </x:c>
      <x:c r="D108" s="11" t="n">
        <x:f>SUMIFS('Purchases'!$I$7:$I$352,'Purchases'!$C$7:$C$352,A108)</x:f>
        <x:v>1175.89583390649</x:v>
      </x:c>
      <x:c r="E108" s="9" t="n">
        <x:f>D108/'Summary'!$C$10</x:f>
        <x:v>0.00014332385601747812</x:v>
      </x:c>
      <x:c r="F108" s="2" t="str">
        <x:v>current price</x:v>
      </x:c>
      <x:c r="G108" s="8" t="d">
        <x:v>2026-10-09T00:00:00.000Z</x:v>
      </x:c>
    </x:row>
    <x:row r="109" ht="22" customHeight="1">
      <x:c r="A109" s="2" t="str">
        <x:v>P</x:v>
      </x:c>
      <x:c r="B109" s="2" t="n">
        <x:f>COUNTIFS('Purchases'!$C$7:$C$352,A109)</x:f>
        <x:v>1</x:v>
      </x:c>
      <x:c r="C109" s="11" t="n">
        <x:f>SUMIFS('Purchases'!$G$7:$G$352,'Purchases'!$C$7:$C$352,A109)</x:f>
        <x:v>1000</x:v>
      </x:c>
      <x:c r="D109" s="11" t="n">
        <x:f>SUMIFS('Purchases'!$I$7:$I$352,'Purchases'!$C$7:$C$352,A109)</x:f>
        <x:v>1169.2272745301086</x:v>
      </x:c>
      <x:c r="E109" s="9" t="n">
        <x:f>D109/'Summary'!$C$10</x:f>
        <x:v>0.00014251105983575398</x:v>
      </x:c>
      <x:c r="F109" s="2" t="str">
        <x:v>current price</x:v>
      </x:c>
      <x:c r="G109" s="8" t="d">
        <x:v>2026-10-09T00:00:00.000Z</x:v>
      </x:c>
    </x:row>
    <x:row r="110" ht="22" customHeight="1">
      <x:c r="A110" s="2" t="str">
        <x:v>ALGN</x:v>
      </x:c>
      <x:c r="B110" s="2" t="n">
        <x:f>COUNTIFS('Purchases'!$C$7:$C$352,A110)</x:f>
        <x:v>2</x:v>
      </x:c>
      <x:c r="C110" s="11" t="n">
        <x:f>SUMIFS('Purchases'!$G$7:$G$352,'Purchases'!$C$7:$C$352,A110)</x:f>
        <x:v>2000</x:v>
      </x:c>
      <x:c r="D110" s="11" t="n">
        <x:f>SUMIFS('Purchases'!$I$7:$I$352,'Purchases'!$C$7:$C$352,A110)</x:f>
        <x:v>1148.449516699216</x:v>
      </x:c>
      <x:c r="E110" s="9" t="n">
        <x:f>D110/'Summary'!$C$10</x:f>
        <x:v>0.0001399785664925063</x:v>
      </x:c>
      <x:c r="F110" s="2" t="str">
        <x:v>current price</x:v>
      </x:c>
      <x:c r="G110" s="8" t="d">
        <x:v>2026-10-09T00:00:00.000Z</x:v>
      </x:c>
    </x:row>
    <x:row r="111" ht="22" customHeight="1">
      <x:c r="A111" s="2" t="str">
        <x:v>CTSH</x:v>
      </x:c>
      <x:c r="B111" s="2" t="n">
        <x:f>COUNTIFS('Purchases'!$C$7:$C$352,A111)</x:f>
        <x:v>1</x:v>
      </x:c>
      <x:c r="C111" s="11" t="n">
        <x:f>SUMIFS('Purchases'!$G$7:$G$352,'Purchases'!$C$7:$C$352,A111)</x:f>
        <x:v>1000</x:v>
      </x:c>
      <x:c r="D111" s="11" t="n">
        <x:f>SUMIFS('Purchases'!$I$7:$I$352,'Purchases'!$C$7:$C$352,A111)</x:f>
        <x:v>1058.6155075339072</x:v>
      </x:c>
      <x:c r="E111" s="9" t="n">
        <x:f>D111/'Summary'!$C$10</x:f>
        <x:v>0.0001290291641527533</x:v>
      </x:c>
      <x:c r="F111" s="2" t="str">
        <x:v>current price</x:v>
      </x:c>
      <x:c r="G111" s="8" t="d">
        <x:v>2026-10-09T00:00:00.000Z</x:v>
      </x:c>
    </x:row>
    <x:row r="112" ht="22" customHeight="1">
      <x:c r="A112" s="2" t="str">
        <x:v>SMCI</x:v>
      </x:c>
      <x:c r="B112" s="2" t="n">
        <x:f>COUNTIFS('Purchases'!$C$7:$C$352,A112)</x:f>
        <x:v>1</x:v>
      </x:c>
      <x:c r="C112" s="11" t="n">
        <x:f>SUMIFS('Purchases'!$G$7:$G$352,'Purchases'!$C$7:$C$352,A112)</x:f>
        <x:v>1000</x:v>
      </x:c>
      <x:c r="D112" s="11" t="n">
        <x:f>SUMIFS('Purchases'!$I$7:$I$352,'Purchases'!$C$7:$C$352,A112)</x:f>
        <x:v>990.0662681876512</x:v>
      </x:c>
      <x:c r="E112" s="9" t="n">
        <x:f>D112/'Summary'!$C$10</x:f>
        <x:v>0.00012067405222287148</x:v>
      </x:c>
      <x:c r="F112" s="2" t="str">
        <x:v>current price</x:v>
      </x:c>
      <x:c r="G112" s="8" t="d">
        <x:v>2026-10-09T00:00:00.000Z</x:v>
      </x:c>
    </x:row>
    <x:row r="113" ht="22" customHeight="1">
      <x:c r="A113" s="2" t="str">
        <x:v>CNC</x:v>
      </x:c>
      <x:c r="B113" s="2" t="n">
        <x:f>COUNTIFS('Purchases'!$C$7:$C$352,A113)</x:f>
        <x:v>1</x:v>
      </x:c>
      <x:c r="C113" s="11" t="n">
        <x:f>SUMIFS('Purchases'!$G$7:$G$352,'Purchases'!$C$7:$C$352,A113)</x:f>
        <x:v>1000</x:v>
      </x:c>
      <x:c r="D113" s="11" t="n">
        <x:f>SUMIFS('Purchases'!$I$7:$I$352,'Purchases'!$C$7:$C$352,A113)</x:f>
        <x:v>951.7984906544083</x:v>
      </x:c>
      <x:c r="E113" s="9" t="n">
        <x:f>D113/'Summary'!$C$10</x:f>
        <x:v>0.00011600979091746103</x:v>
      </x:c>
      <x:c r="F113" s="2" t="str">
        <x:v>current price</x:v>
      </x:c>
      <x:c r="G113" s="8" t="d">
        <x:v>2026-10-09T00:00:00.000Z</x:v>
      </x:c>
    </x:row>
    <x:row r="114" ht="22" customHeight="1">
      <x:c r="A114" s="2" t="str">
        <x:v>GEN</x:v>
      </x:c>
      <x:c r="B114" s="2" t="n">
        <x:f>COUNTIFS('Purchases'!$C$7:$C$352,A114)</x:f>
        <x:v>1</x:v>
      </x:c>
      <x:c r="C114" s="11" t="n">
        <x:f>SUMIFS('Purchases'!$G$7:$G$352,'Purchases'!$C$7:$C$352,A114)</x:f>
        <x:v>1000</x:v>
      </x:c>
      <x:c r="D114" s="11" t="n">
        <x:f>SUMIFS('Purchases'!$I$7:$I$352,'Purchases'!$C$7:$C$352,A114)</x:f>
        <x:v>934.5855894885818</x:v>
      </x:c>
      <x:c r="E114" s="9" t="n">
        <x:f>D114/'Summary'!$C$10</x:f>
        <x:v>0.0001139117994991751</x:v>
      </x:c>
      <x:c r="F114" s="2" t="str">
        <x:v>current price</x:v>
      </x:c>
      <x:c r="G114" s="8" t="d">
        <x:v>2026-10-09T00:00:00.000Z</x:v>
      </x:c>
    </x:row>
    <x:row r="115" ht="22" customHeight="1">
      <x:c r="A115" s="2" t="str">
        <x:v>TEX</x:v>
      </x:c>
      <x:c r="B115" s="2" t="n">
        <x:f>COUNTIFS('Purchases'!$C$7:$C$352,A115)</x:f>
        <x:v>1</x:v>
      </x:c>
      <x:c r="C115" s="11" t="n">
        <x:f>SUMIFS('Purchases'!$G$7:$G$352,'Purchases'!$C$7:$C$352,A115)</x:f>
        <x:v>1000</x:v>
      </x:c>
      <x:c r="D115" s="11" t="n">
        <x:f>SUMIFS('Purchases'!$I$7:$I$352,'Purchases'!$C$7:$C$352,A115)</x:f>
        <x:v>908.1744782506008</x:v>
      </x:c>
      <x:c r="E115" s="9" t="n">
        <x:f>D115/'Summary'!$C$10</x:f>
        <x:v>0.00011069268587092238</x:v>
      </x:c>
      <x:c r="F115" s="2" t="str">
        <x:v>current price</x:v>
      </x:c>
      <x:c r="G115" s="8" t="d">
        <x:v>2026-10-09T00:00:00.000Z</x:v>
      </x:c>
    </x:row>
    <x:row r="116" ht="22" customHeight="1">
      <x:c r="A116" s="2" t="str">
        <x:v>GT</x:v>
      </x:c>
      <x:c r="B116" s="2" t="n">
        <x:f>COUNTIFS('Purchases'!$C$7:$C$352,A116)</x:f>
        <x:v>3</x:v>
      </x:c>
      <x:c r="C116" s="11" t="n">
        <x:f>SUMIFS('Purchases'!$G$7:$G$352,'Purchases'!$C$7:$C$352,A116)</x:f>
        <x:v>3000</x:v>
      </x:c>
      <x:c r="D116" s="11" t="n">
        <x:f>SUMIFS('Purchases'!$I$7:$I$352,'Purchases'!$C$7:$C$352,A116)</x:f>
        <x:v>897.9569703308687</x:v>
      </x:c>
      <x:c r="E116" s="9" t="n">
        <x:f>D116/'Summary'!$C$10</x:f>
        <x:v>0.00010944732672284193</x:v>
      </x:c>
      <x:c r="F116" s="2" t="str">
        <x:v>current price</x:v>
      </x:c>
      <x:c r="G116" s="8" t="d">
        <x:v>2026-10-09T00:00:00.000Z</x:v>
      </x:c>
    </x:row>
    <x:row r="117" ht="22" customHeight="1">
      <x:c r="A117" s="2" t="str">
        <x:v>CMG</x:v>
      </x:c>
      <x:c r="B117" s="2" t="n">
        <x:f>COUNTIFS('Purchases'!$C$7:$C$352,A117)</x:f>
        <x:v>1</x:v>
      </x:c>
      <x:c r="C117" s="11" t="n">
        <x:f>SUMIFS('Purchases'!$G$7:$G$352,'Purchases'!$C$7:$C$352,A117)</x:f>
        <x:v>1000</x:v>
      </x:c>
      <x:c r="D117" s="11" t="n">
        <x:f>SUMIFS('Purchases'!$I$7:$I$352,'Purchases'!$C$7:$C$352,A117)</x:f>
        <x:v>768.6131709349595</x:v>
      </x:c>
      <x:c r="E117" s="9" t="n">
        <x:f>D117/'Summary'!$C$10</x:f>
        <x:v>0.0000936822805794375</x:v>
      </x:c>
      <x:c r="F117" s="2" t="str">
        <x:v>current price</x:v>
      </x:c>
      <x:c r="G117" s="8" t="d">
        <x:v>2026-10-09T00:00:00.000Z</x:v>
      </x:c>
    </x:row>
    <x:row r="118" ht="22" customHeight="1">
      <x:c r="A118" s="2" t="str">
        <x:v>LYB</x:v>
      </x:c>
      <x:c r="B118" s="2" t="n">
        <x:f>COUNTIFS('Purchases'!$C$7:$C$352,A118)</x:f>
        <x:v>1</x:v>
      </x:c>
      <x:c r="C118" s="11" t="n">
        <x:f>SUMIFS('Purchases'!$G$7:$G$352,'Purchases'!$C$7:$C$352,A118)</x:f>
        <x:v>1000</x:v>
      </x:c>
      <x:c r="D118" s="11" t="n">
        <x:f>SUMIFS('Purchases'!$I$7:$I$352,'Purchases'!$C$7:$C$352,A118)</x:f>
        <x:v>766.1476337281428</x:v>
      </x:c>
      <x:c r="E118" s="9" t="n">
        <x:f>D118/'Summary'!$C$10</x:f>
        <x:v>0.00009338176901247191</x:v>
      </x:c>
      <x:c r="F118" s="2" t="str">
        <x:v>current price</x:v>
      </x:c>
      <x:c r="G118" s="8" t="d">
        <x:v>2026-10-09T00:00:00.000Z</x:v>
      </x:c>
    </x:row>
    <x:row r="119" ht="22" customHeight="1">
      <x:c r="A119" s="2" t="str">
        <x:v>AMAT</x:v>
      </x:c>
      <x:c r="B119" s="2" t="n">
        <x:f>COUNTIFS('Purchases'!$C$7:$C$352,A119)</x:f>
        <x:v>1</x:v>
      </x:c>
      <x:c r="C119" s="11" t="n">
        <x:f>SUMIFS('Purchases'!$G$7:$G$352,'Purchases'!$C$7:$C$352,A119)</x:f>
        <x:v>1000</x:v>
      </x:c>
      <x:c r="D119" s="11" t="n">
        <x:f>SUMIFS('Purchases'!$I$7:$I$352,'Purchases'!$C$7:$C$352,A119)</x:f>
        <x:v>759.3725389538737</x:v>
      </x:c>
      <x:c r="E119" s="9" t="n">
        <x:f>D119/'Summary'!$C$10</x:f>
        <x:v>0.00009255598778259358</x:v>
      </x:c>
      <x:c r="F119" s="2" t="str">
        <x:v>current price</x:v>
      </x:c>
      <x:c r="G119" s="8" t="d">
        <x:v>2026-10-09T00:00:00.000Z</x:v>
      </x:c>
    </x:row>
    <x:row r="120" ht="22" customHeight="1">
      <x:c r="A120" s="2" t="str">
        <x:v>MHK</x:v>
      </x:c>
      <x:c r="B120" s="2" t="n">
        <x:f>COUNTIFS('Purchases'!$C$7:$C$352,A120)</x:f>
        <x:v>1</x:v>
      </x:c>
      <x:c r="C120" s="11" t="n">
        <x:f>SUMIFS('Purchases'!$G$7:$G$352,'Purchases'!$C$7:$C$352,A120)</x:f>
        <x:v>1000</x:v>
      </x:c>
      <x:c r="D120" s="11" t="n">
        <x:f>SUMIFS('Purchases'!$I$7:$I$352,'Purchases'!$C$7:$C$352,A120)</x:f>
        <x:v>729.5025964912954</x:v>
      </x:c>
      <x:c r="E120" s="9" t="n">
        <x:f>D120/'Summary'!$C$10</x:f>
        <x:v>0.00008891529512146338</x:v>
      </x:c>
      <x:c r="F120" s="2" t="str">
        <x:v>current price</x:v>
      </x:c>
      <x:c r="G120" s="8" t="d">
        <x:v>2026-10-09T00:00:00.000Z</x:v>
      </x:c>
    </x:row>
    <x:row r="121" ht="22" customHeight="1">
      <x:c r="A121" s="2" t="str">
        <x:v>DXCM</x:v>
      </x:c>
      <x:c r="B121" s="2" t="n">
        <x:f>COUNTIFS('Purchases'!$C$7:$C$352,A121)</x:f>
        <x:v>1</x:v>
      </x:c>
      <x:c r="C121" s="11" t="n">
        <x:f>SUMIFS('Purchases'!$G$7:$G$352,'Purchases'!$C$7:$C$352,A121)</x:f>
        <x:v>1000</x:v>
      </x:c>
      <x:c r="D121" s="11" t="n">
        <x:f>SUMIFS('Purchases'!$I$7:$I$352,'Purchases'!$C$7:$C$352,A121)</x:f>
        <x:v>691.8078577372906</x:v>
      </x:c>
      <x:c r="E121" s="9" t="n">
        <x:f>D121/'Summary'!$C$10</x:f>
        <x:v>0.00008432087854644468</x:v>
      </x:c>
      <x:c r="F121" s="2" t="str">
        <x:v>current price</x:v>
      </x:c>
      <x:c r="G121" s="8" t="d">
        <x:v>2026-10-09T00:00:00.000Z</x:v>
      </x:c>
    </x:row>
    <x:row r="122" ht="22" customHeight="1">
      <x:c r="A122" s="2" t="str">
        <x:v>TPL</x:v>
      </x:c>
      <x:c r="B122" s="2" t="n">
        <x:f>COUNTIFS('Purchases'!$C$7:$C$352,A122)</x:f>
        <x:v>1</x:v>
      </x:c>
      <x:c r="C122" s="11" t="n">
        <x:f>SUMIFS('Purchases'!$G$7:$G$352,'Purchases'!$C$7:$C$352,A122)</x:f>
        <x:v>1000</x:v>
      </x:c>
      <x:c r="D122" s="11" t="n">
        <x:f>SUMIFS('Purchases'!$I$7:$I$352,'Purchases'!$C$7:$C$352,A122)</x:f>
        <x:v>673.071318758527</x:v>
      </x:c>
      <x:c r="E122" s="9" t="n">
        <x:f>D122/'Summary'!$C$10</x:f>
        <x:v>0.00008203717880244869</x:v>
      </x:c>
      <x:c r="F122" s="2" t="str">
        <x:v>current price</x:v>
      </x:c>
      <x:c r="G122" s="8" t="d">
        <x:v>2026-10-09T00:00:00.000Z</x:v>
      </x:c>
    </x:row>
    <x:row r="123" ht="22" customHeight="1">
      <x:c r="A123" s="2" t="str">
        <x:v>EFX</x:v>
      </x:c>
      <x:c r="B123" s="2" t="n">
        <x:f>COUNTIFS('Purchases'!$C$7:$C$352,A123)</x:f>
        <x:v>1</x:v>
      </x:c>
      <x:c r="C123" s="11" t="n">
        <x:f>SUMIFS('Purchases'!$G$7:$G$352,'Purchases'!$C$7:$C$352,A123)</x:f>
        <x:v>1000</x:v>
      </x:c>
      <x:c r="D123" s="11" t="n">
        <x:f>SUMIFS('Purchases'!$I$7:$I$352,'Purchases'!$C$7:$C$352,A123)</x:f>
        <x:v>659.984585525858</x:v>
      </x:c>
      <x:c r="E123" s="9" t="n">
        <x:f>D123/'Summary'!$C$10</x:f>
        <x:v>0.00008044210463389156</x:v>
      </x:c>
      <x:c r="F123" s="2" t="str">
        <x:v>current price</x:v>
      </x:c>
      <x:c r="G123" s="8" t="d">
        <x:v>2026-10-09T00:00:00.000Z</x:v>
      </x:c>
    </x:row>
    <x:row r="124" ht="22" customHeight="1">
      <x:c r="A124" s="2" t="str">
        <x:v>WHR</x:v>
      </x:c>
      <x:c r="B124" s="2" t="n">
        <x:f>COUNTIFS('Purchases'!$C$7:$C$352,A124)</x:f>
        <x:v>1</x:v>
      </x:c>
      <x:c r="C124" s="11" t="n">
        <x:f>SUMIFS('Purchases'!$G$7:$G$352,'Purchases'!$C$7:$C$352,A124)</x:f>
        <x:v>1000</x:v>
      </x:c>
      <x:c r="D124" s="11" t="n">
        <x:f>SUMIFS('Purchases'!$I$7:$I$352,'Purchases'!$C$7:$C$352,A124)</x:f>
        <x:v>614.0108319291661</x:v>
      </x:c>
      <x:c r="E124" s="9" t="n">
        <x:f>D124/'Summary'!$C$10</x:f>
        <x:v>0.00007483860179709244</x:v>
      </x:c>
      <x:c r="F124" s="2" t="str">
        <x:v>current price</x:v>
      </x:c>
      <x:c r="G124" s="8" t="d">
        <x:v>2026-10-09T00:00:00.000Z</x:v>
      </x:c>
    </x:row>
    <x:row r="125" ht="22" customHeight="1">
      <x:c r="A125" s="2" t="str">
        <x:v>MBI</x:v>
      </x:c>
      <x:c r="B125" s="2" t="n">
        <x:f>COUNTIFS('Purchases'!$C$7:$C$352,A125)</x:f>
        <x:v>1</x:v>
      </x:c>
      <x:c r="C125" s="11" t="n">
        <x:f>SUMIFS('Purchases'!$G$7:$G$352,'Purchases'!$C$7:$C$352,A125)</x:f>
        <x:v>1000</x:v>
      </x:c>
      <x:c r="D125" s="11" t="n">
        <x:f>SUMIFS('Purchases'!$I$7:$I$352,'Purchases'!$C$7:$C$352,A125)</x:f>
        <x:v>581.7021160044534</x:v>
      </x:c>
      <x:c r="E125" s="9" t="n">
        <x:f>D125/'Summary'!$C$10</x:f>
        <x:v>0.00007090065966328999</x:v>
      </x:c>
      <x:c r="F125" s="2" t="str">
        <x:v>current price</x:v>
      </x:c>
      <x:c r="G125" s="8" t="d">
        <x:v>2026-10-09T00:00:00.000Z</x:v>
      </x:c>
    </x:row>
    <x:row r="126" ht="22" customHeight="1">
      <x:c r="A126" s="2" t="str">
        <x:v>CLF</x:v>
      </x:c>
      <x:c r="B126" s="2" t="n">
        <x:f>COUNTIFS('Purchases'!$C$7:$C$352,A126)</x:f>
        <x:v>1</x:v>
      </x:c>
      <x:c r="C126" s="11" t="n">
        <x:f>SUMIFS('Purchases'!$G$7:$G$352,'Purchases'!$C$7:$C$352,A126)</x:f>
        <x:v>1000</x:v>
      </x:c>
      <x:c r="D126" s="11" t="n">
        <x:f>SUMIFS('Purchases'!$I$7:$I$352,'Purchases'!$C$7:$C$352,A126)</x:f>
        <x:v>554.9648967646837</x:v>
      </x:c>
      <x:c r="E126" s="9" t="n">
        <x:f>D126/'Summary'!$C$10</x:f>
        <x:v>0.00006764179841883963</x:v>
      </x:c>
      <x:c r="F126" s="2" t="str">
        <x:v>current price</x:v>
      </x:c>
      <x:c r="G126" s="8" t="d">
        <x:v>2026-10-09T00:00:00.000Z</x:v>
      </x:c>
    </x:row>
    <x:row r="127" ht="22" customHeight="1">
      <x:c r="A127" s="2" t="str">
        <x:v>COIN</x:v>
      </x:c>
      <x:c r="B127" s="2" t="n">
        <x:f>COUNTIFS('Purchases'!$C$7:$C$352,A127)</x:f>
        <x:v>1</x:v>
      </x:c>
      <x:c r="C127" s="11" t="n">
        <x:f>SUMIFS('Purchases'!$G$7:$G$352,'Purchases'!$C$7:$C$352,A127)</x:f>
        <x:v>1000</x:v>
      </x:c>
      <x:c r="D127" s="11" t="n">
        <x:f>SUMIFS('Purchases'!$I$7:$I$352,'Purchases'!$C$7:$C$352,A127)</x:f>
        <x:v>527.6486663722918</x:v>
      </x:c>
      <x:c r="E127" s="9" t="n">
        <x:f>D127/'Summary'!$C$10</x:f>
        <x:v>0.00006431236450232252</x:v>
      </x:c>
      <x:c r="F127" s="2" t="str">
        <x:v>current price</x:v>
      </x:c>
      <x:c r="G127" s="8" t="d">
        <x:v>2026-10-09T00:00:00.000Z</x:v>
      </x:c>
    </x:row>
    <x:row r="128" ht="22" customHeight="1">
      <x:c r="A128" s="2" t="str">
        <x:v>PAYC</x:v>
      </x:c>
      <x:c r="B128" s="2" t="n">
        <x:f>COUNTIFS('Purchases'!$C$7:$C$352,A128)</x:f>
        <x:v>1</x:v>
      </x:c>
      <x:c r="C128" s="11" t="n">
        <x:f>SUMIFS('Purchases'!$G$7:$G$352,'Purchases'!$C$7:$C$352,A128)</x:f>
        <x:v>1000</x:v>
      </x:c>
      <x:c r="D128" s="11" t="n">
        <x:f>SUMIFS('Purchases'!$I$7:$I$352,'Purchases'!$C$7:$C$352,A128)</x:f>
        <x:v>490.81284571562867</x:v>
      </x:c>
      <x:c r="E128" s="9" t="n">
        <x:f>D128/'Summary'!$C$10</x:f>
        <x:v>0.00005982263700788779</x:v>
      </x:c>
      <x:c r="F128" s="2" t="str">
        <x:v>current price</x:v>
      </x:c>
      <x:c r="G128" s="8" t="d">
        <x:v>2026-10-09T00:00:00.000Z</x:v>
      </x:c>
    </x:row>
    <x:row r="129" ht="22" customHeight="1">
      <x:c r="A129" s="2" t="str">
        <x:v>ADBE</x:v>
      </x:c>
      <x:c r="B129" s="2" t="n">
        <x:f>COUNTIFS('Purchases'!$C$7:$C$352,A129)</x:f>
        <x:v>1</x:v>
      </x:c>
      <x:c r="C129" s="11" t="n">
        <x:f>SUMIFS('Purchases'!$G$7:$G$352,'Purchases'!$C$7:$C$352,A129)</x:f>
        <x:v>1000</x:v>
      </x:c>
      <x:c r="D129" s="11" t="n">
        <x:f>SUMIFS('Purchases'!$I$7:$I$352,'Purchases'!$C$7:$C$352,A129)</x:f>
        <x:v>439.3964242116414</x:v>
      </x:c>
      <x:c r="E129" s="9" t="n">
        <x:f>D129/'Summary'!$C$10</x:f>
        <x:v>0.00005355575555454516</x:v>
      </x:c>
      <x:c r="F129" s="2" t="str">
        <x:v>current price</x:v>
      </x:c>
      <x:c r="G129" s="8" t="d">
        <x:v>2026-10-09T00:00:00.000Z</x:v>
      </x:c>
    </x:row>
    <x:row r="130" ht="22" customHeight="1">
      <x:c r="A130" s="2" t="str">
        <x:v>NWL</x:v>
      </x:c>
      <x:c r="B130" s="2" t="n">
        <x:f>COUNTIFS('Purchases'!$C$7:$C$352,A130)</x:f>
        <x:v>1</x:v>
      </x:c>
      <x:c r="C130" s="11" t="n">
        <x:f>SUMIFS('Purchases'!$G$7:$G$352,'Purchases'!$C$7:$C$352,A130)</x:f>
        <x:v>1000</x:v>
      </x:c>
      <x:c r="D130" s="11" t="n">
        <x:f>SUMIFS('Purchases'!$I$7:$I$352,'Purchases'!$C$7:$C$352,A130)</x:f>
        <x:v>344.3574739336806</x:v>
      </x:c>
      <x:c r="E130" s="9" t="n">
        <x:f>D130/'Summary'!$C$10</x:f>
        <x:v>0.000041971949886624146</x:v>
      </x:c>
      <x:c r="F130" s="2" t="str">
        <x:v>current price</x:v>
      </x:c>
      <x:c r="G130" s="8" t="d">
        <x:v>2026-10-09T00:00:00.000Z</x:v>
      </x:c>
    </x:row>
    <x:row r="131" ht="22" customHeight="1">
      <x:c r="A131" s="2" t="str">
        <x:v>DXC</x:v>
      </x:c>
      <x:c r="B131" s="2" t="n">
        <x:f>COUNTIFS('Purchases'!$C$7:$C$352,A131)</x:f>
        <x:v>1</x:v>
      </x:c>
      <x:c r="C131" s="11" t="n">
        <x:f>SUMIFS('Purchases'!$G$7:$G$352,'Purchases'!$C$7:$C$352,A131)</x:f>
        <x:v>1000</x:v>
      </x:c>
      <x:c r="D131" s="11" t="n">
        <x:f>SUMIFS('Purchases'!$I$7:$I$352,'Purchases'!$C$7:$C$352,A131)</x:f>
        <x:v>340.5249470814661</x:v>
      </x:c>
      <x:c r="E131" s="9" t="n">
        <x:f>D131/'Summary'!$C$10</x:f>
        <x:v>0.00004150482302818033</x:v>
      </x:c>
      <x:c r="F131" s="2" t="str">
        <x:v>current price</x:v>
      </x:c>
      <x:c r="G131" s="8" t="d">
        <x:v>2026-10-09T00:00:00.000Z</x:v>
      </x:c>
    </x:row>
    <x:row r="132" ht="22" customHeight="1">
      <x:c r="A132" s="2" t="str">
        <x:v>COTY</x:v>
      </x:c>
      <x:c r="B132" s="2" t="n">
        <x:f>COUNTIFS('Purchases'!$C$7:$C$352,A132)</x:f>
        <x:v>1</x:v>
      </x:c>
      <x:c r="C132" s="11" t="n">
        <x:f>SUMIFS('Purchases'!$G$7:$G$352,'Purchases'!$C$7:$C$352,A132)</x:f>
        <x:v>1000</x:v>
      </x:c>
      <x:c r="D132" s="11" t="n">
        <x:f>SUMIFS('Purchases'!$I$7:$I$352,'Purchases'!$C$7:$C$352,A132)</x:f>
        <x:v>268.6601307417508</x:v>
      </x:c>
      <x:c r="E132" s="9" t="n">
        <x:f>D132/'Summary'!$C$10</x:f>
        <x:v>0.000032745592582080335</x:v>
      </x:c>
      <x:c r="F132" s="2" t="str">
        <x:v>current price</x:v>
      </x:c>
      <x:c r="G132" s="8" t="d">
        <x:v>2026-10-09T00:00:00.000Z</x:v>
      </x:c>
    </x:row>
    <x:row r="133" ht="22" customHeight="1">
      <x:c r="A133" s="2" t="str">
        <x:v>ENPH</x:v>
      </x:c>
      <x:c r="B133" s="2" t="n">
        <x:f>COUNTIFS('Purchases'!$C$7:$C$352,A133)</x:f>
        <x:v>2</x:v>
      </x:c>
      <x:c r="C133" s="11" t="n">
        <x:f>SUMIFS('Purchases'!$G$7:$G$352,'Purchases'!$C$7:$C$352,A133)</x:f>
        <x:v>2000</x:v>
      </x:c>
      <x:c r="D133" s="11" t="n">
        <x:f>SUMIFS('Purchases'!$I$7:$I$352,'Purchases'!$C$7:$C$352,A133)</x:f>
        <x:v>256.7645714899809</x:v>
      </x:c>
      <x:c r="E133" s="9" t="n">
        <x:f>D133/'Summary'!$C$10</x:f>
        <x:v>0.00003129570444378829</x:v>
      </x:c>
      <x:c r="F133" s="2" t="str">
        <x:v>current price</x:v>
      </x:c>
      <x:c r="G133" s="8" t="d">
        <x:v>2026-10-09T00:00:00.000Z</x:v>
      </x:c>
    </x:row>
    <x:row r="134" ht="22" customHeight="1">
      <x:c r="A134" s="2" t="str">
        <x:v>XRAY</x:v>
      </x:c>
      <x:c r="B134" s="2" t="n">
        <x:f>COUNTIFS('Purchases'!$C$7:$C$352,A134)</x:f>
        <x:v>1</x:v>
      </x:c>
      <x:c r="C134" s="11" t="n">
        <x:f>SUMIFS('Purchases'!$G$7:$G$352,'Purchases'!$C$7:$C$352,A134)</x:f>
        <x:v>1000</x:v>
      </x:c>
      <x:c r="D134" s="11" t="n">
        <x:f>SUMIFS('Purchases'!$I$7:$I$352,'Purchases'!$C$7:$C$352,A134)</x:f>
        <x:v>200.9270087642681</x:v>
      </x:c>
      <x:c r="E134" s="9" t="n">
        <x:f>D134/'Summary'!$C$10</x:f>
        <x:v>0.00002448995297354083</x:v>
      </x:c>
      <x:c r="F134" s="2" t="str">
        <x:v>current price</x:v>
      </x:c>
      <x:c r="G134" s="8" t="d">
        <x:v>2026-10-09T00:00:00.000Z</x:v>
      </x:c>
    </x:row>
    <x:row r="135" ht="22" customHeight="1">
      <x:c r="A135" s="2" t="str">
        <x:v>TRIP</x:v>
      </x:c>
      <x:c r="B135" s="2" t="n">
        <x:f>COUNTIFS('Purchases'!$C$7:$C$352,A135)</x:f>
        <x:v>1</x:v>
      </x:c>
      <x:c r="C135" s="11" t="n">
        <x:f>SUMIFS('Purchases'!$G$7:$G$352,'Purchases'!$C$7:$C$352,A135)</x:f>
        <x:v>1000</x:v>
      </x:c>
      <x:c r="D135" s="11" t="n">
        <x:f>SUMIFS('Purchases'!$I$7:$I$352,'Purchases'!$C$7:$C$352,A135)</x:f>
        <x:v>186.0777147722602</x:v>
      </x:c>
      <x:c r="E135" s="9" t="n">
        <x:f>D135/'Summary'!$C$10</x:f>
        <x:v>0.00002268004939815238</x:v>
      </x:c>
      <x:c r="F135" s="2" t="str">
        <x:v>current price</x:v>
      </x:c>
      <x:c r="G135" s="8" t="d">
        <x:v>2026-10-09T00:00:00.000Z</x:v>
      </x:c>
    </x:row>
    <x:row r="136" ht="22" customHeight="1">
      <x:c r="A136" s="2" t="str">
        <x:v>XRX</x:v>
      </x:c>
      <x:c r="B136" s="2" t="n">
        <x:f>COUNTIFS('Purchases'!$C$7:$C$352,A136)</x:f>
        <x:v>1</x:v>
      </x:c>
      <x:c r="C136" s="11" t="n">
        <x:f>SUMIFS('Purchases'!$G$7:$G$352,'Purchases'!$C$7:$C$352,A136)</x:f>
        <x:v>1000</x:v>
      </x:c>
      <x:c r="D136" s="11" t="n">
        <x:f>SUMIFS('Purchases'!$I$7:$I$352,'Purchases'!$C$7:$C$352,A136)</x:f>
        <x:v>148.16213647288308</x:v>
      </x:c>
      <x:c r="E136" s="9" t="n">
        <x:f>D136/'Summary'!$C$10</x:f>
        <x:v>0.000018058715834152793</x:v>
      </x:c>
      <x:c r="F136" s="2" t="str">
        <x:v>current price</x:v>
      </x:c>
      <x:c r="G136" s="8" t="d">
        <x:v>2026-10-09T00:00:00.000Z</x:v>
      </x:c>
    </x:row>
    <x:row r="137" ht="22" customHeight="1">
      <x:c r="A137" s="2" t="str">
        <x:v>SEDG</x:v>
      </x:c>
      <x:c r="B137" s="2" t="n">
        <x:f>COUNTIFS('Purchases'!$C$7:$C$352,A137)</x:f>
        <x:v>1</x:v>
      </x:c>
      <x:c r="C137" s="11" t="n">
        <x:f>SUMIFS('Purchases'!$G$7:$G$352,'Purchases'!$C$7:$C$352,A137)</x:f>
        <x:v>1000</x:v>
      </x:c>
      <x:c r="D137" s="11" t="n">
        <x:f>SUMIFS('Purchases'!$I$7:$I$352,'Purchases'!$C$7:$C$352,A137)</x:f>
        <x:v>102.25396534761903</x:v>
      </x:c>
      <x:c r="E137" s="9" t="n">
        <x:f>D137/'Summary'!$C$10</x:f>
        <x:v>0.000012463206505299838</x:v>
      </x:c>
      <x:c r="F137" s="2" t="str">
        <x:v>current price</x:v>
      </x:c>
      <x:c r="G137" s="8" t="d">
        <x:v>2026-10-09T00:00:00.000Z</x:v>
      </x:c>
    </x:row>
    <x:row r="138" ht="22" customHeight="1">
      <x:c r="A138" s="2" t="str">
        <x:v>ABMD</x:v>
      </x:c>
      <x:c r="B138" s="2" t="n">
        <x:f>COUNTIFS('Purchases'!$C$7:$C$352,A138)</x:f>
        <x:v>1</x:v>
      </x:c>
      <x:c r="C138" s="11" t="n">
        <x:f>SUMIFS('Purchases'!$G$7:$G$352,'Purchases'!$C$7:$C$352,A138)</x:f>
        <x:v>1000</x:v>
      </x:c>
      <x:c r="D138" s="11" t="n">
        <x:f>SUMIFS('Purchases'!$I$7:$I$352,'Purchases'!$C$7:$C$352,A138)</x:f>
        <x:v>0</x:v>
      </x:c>
      <x:c r="E138" s="9" t="n">
        <x:f>D138/'Summary'!$C$10</x:f>
        <x:v>0</x:v>
      </x:c>
      <x:c r="F138" s="2" t="str">
        <x:v>written off ($0 rule)</x:v>
      </x:c>
      <x:c r="G138" s="8" t="d">
        <x:v>2022-12-21T00:00:00.000Z</x:v>
      </x:c>
    </x:row>
    <x:row r="139" ht="22" customHeight="1">
      <x:c r="A139" s="2" t="str">
        <x:v>AABA</x:v>
      </x:c>
      <x:c r="B139" s="2" t="n">
        <x:f>COUNTIFS('Purchases'!$C$7:$C$352,A139)</x:f>
        <x:v>3</x:v>
      </x:c>
      <x:c r="C139" s="11" t="n">
        <x:f>SUMIFS('Purchases'!$G$7:$G$352,'Purchases'!$C$7:$C$352,A139)</x:f>
        <x:v>3000</x:v>
      </x:c>
      <x:c r="D139" s="11" t="n">
        <x:f>SUMIFS('Purchases'!$I$7:$I$352,'Purchases'!$C$7:$C$352,A139)</x:f>
        <x:v>0</x:v>
      </x:c>
      <x:c r="E139" s="9" t="n">
        <x:f>D139/'Summary'!$C$10</x:f>
        <x:v>0</x:v>
      </x:c>
      <x:c r="F139" s="2" t="str">
        <x:v>written off ($0 rule)</x:v>
      </x:c>
      <x:c r="G139" s="8" t="d">
        <x:v>2019-10-02T00:00:00.000Z</x:v>
      </x:c>
    </x:row>
    <x:row r="140" ht="22" customHeight="1">
      <x:c r="A140" s="2" t="str">
        <x:v>AET-201811</x:v>
      </x:c>
      <x:c r="B140" s="2" t="n">
        <x:f>COUNTIFS('Purchases'!$C$7:$C$352,A140)</x:f>
        <x:v>1</x:v>
      </x:c>
      <x:c r="C140" s="11" t="n">
        <x:f>SUMIFS('Purchases'!$G$7:$G$352,'Purchases'!$C$7:$C$352,A140)</x:f>
        <x:v>1000</x:v>
      </x:c>
      <x:c r="D140" s="11" t="n">
        <x:f>SUMIFS('Purchases'!$I$7:$I$352,'Purchases'!$C$7:$C$352,A140)</x:f>
        <x:v>0</x:v>
      </x:c>
      <x:c r="E140" s="9" t="n">
        <x:f>D140/'Summary'!$C$10</x:f>
        <x:v>0</x:v>
      </x:c>
      <x:c r="F140" s="2" t="str">
        <x:v>written off ($0 rule)</x:v>
      </x:c>
      <x:c r="G140" s="8" t="d">
        <x:v>2018-11-28T00:00:00.000Z</x:v>
      </x:c>
    </x:row>
    <x:row r="141" ht="22" customHeight="1">
      <x:c r="A141" s="2" t="str">
        <x:v>ARG-201605</x:v>
      </x:c>
      <x:c r="B141" s="2" t="n">
        <x:f>COUNTIFS('Purchases'!$C$7:$C$352,A141)</x:f>
        <x:v>2</x:v>
      </x:c>
      <x:c r="C141" s="11" t="n">
        <x:f>SUMIFS('Purchases'!$G$7:$G$352,'Purchases'!$C$7:$C$352,A141)</x:f>
        <x:v>2000</x:v>
      </x:c>
      <x:c r="D141" s="11" t="n">
        <x:f>SUMIFS('Purchases'!$I$7:$I$352,'Purchases'!$C$7:$C$352,A141)</x:f>
        <x:v>0</x:v>
      </x:c>
      <x:c r="E141" s="9" t="n">
        <x:f>D141/'Summary'!$C$10</x:f>
        <x:v>0</x:v>
      </x:c>
      <x:c r="F141" s="2" t="str">
        <x:v>written off ($0 rule)</x:v>
      </x:c>
      <x:c r="G141" s="8" t="d">
        <x:v>2016-05-20T00:00:00.000Z</x:v>
      </x:c>
    </x:row>
    <x:row r="142" ht="22" customHeight="1">
      <x:c r="A142" s="2" t="str">
        <x:v>ALTR-201512</x:v>
      </x:c>
      <x:c r="B142" s="2" t="n">
        <x:f>COUNTIFS('Purchases'!$C$7:$C$352,A142)</x:f>
        <x:v>1</x:v>
      </x:c>
      <x:c r="C142" s="11" t="n">
        <x:f>SUMIFS('Purchases'!$G$7:$G$352,'Purchases'!$C$7:$C$352,A142)</x:f>
        <x:v>1000</x:v>
      </x:c>
      <x:c r="D142" s="11" t="n">
        <x:f>SUMIFS('Purchases'!$I$7:$I$352,'Purchases'!$C$7:$C$352,A142)</x:f>
        <x:v>0</x:v>
      </x:c>
      <x:c r="E142" s="9" t="n">
        <x:f>D142/'Summary'!$C$10</x:f>
        <x:v>0</x:v>
      </x:c>
      <x:c r="F142" s="2" t="str">
        <x:v>written off ($0 rule)</x:v>
      </x:c>
      <x:c r="G142" s="8" t="d">
        <x:v>2015-12-24T00:00:00.000Z</x:v>
      </x:c>
    </x:row>
    <x:row r="143" ht="22" customHeight="1">
      <x:c r="A143" s="2" t="str">
        <x:v>APOL-201702</x:v>
      </x:c>
      <x:c r="B143" s="2" t="n">
        <x:f>COUNTIFS('Purchases'!$C$7:$C$352,A143)</x:f>
        <x:v>1</x:v>
      </x:c>
      <x:c r="C143" s="11" t="n">
        <x:f>SUMIFS('Purchases'!$G$7:$G$352,'Purchases'!$C$7:$C$352,A143)</x:f>
        <x:v>1000</x:v>
      </x:c>
      <x:c r="D143" s="11" t="n">
        <x:f>SUMIFS('Purchases'!$I$7:$I$352,'Purchases'!$C$7:$C$352,A143)</x:f>
        <x:v>0</x:v>
      </x:c>
      <x:c r="E143" s="9" t="n">
        <x:f>D143/'Summary'!$C$10</x:f>
        <x:v>0</x:v>
      </x:c>
      <x:c r="F143" s="2" t="str">
        <x:v>written off ($0 rule)</x:v>
      </x:c>
      <x:c r="G143" s="8" t="d">
        <x:v>2017-02-01T00:00:00.000Z</x:v>
      </x:c>
    </x:row>
    <x:row r="144" ht="22" customHeight="1">
      <x:c r="A144" s="2" t="str">
        <x:v>ANDV-201809</x:v>
      </x:c>
      <x:c r="B144" s="2" t="n">
        <x:f>COUNTIFS('Purchases'!$C$7:$C$352,A144)</x:f>
        <x:v>2</x:v>
      </x:c>
      <x:c r="C144" s="11" t="n">
        <x:f>SUMIFS('Purchases'!$G$7:$G$352,'Purchases'!$C$7:$C$352,A144)</x:f>
        <x:v>2000</x:v>
      </x:c>
      <x:c r="D144" s="11" t="n">
        <x:f>SUMIFS('Purchases'!$I$7:$I$352,'Purchases'!$C$7:$C$352,A144)</x:f>
        <x:v>0</x:v>
      </x:c>
      <x:c r="E144" s="9" t="n">
        <x:f>D144/'Summary'!$C$10</x:f>
        <x:v>0</x:v>
      </x:c>
      <x:c r="F144" s="2" t="str">
        <x:v>written off ($0 rule)</x:v>
      </x:c>
      <x:c r="G144" s="8" t="d">
        <x:v>2018-09-28T00:00:00.000Z</x:v>
      </x:c>
    </x:row>
    <x:row r="145" ht="22" customHeight="1">
      <x:c r="A145" s="2" t="str">
        <x:v>AGN</x:v>
      </x:c>
      <x:c r="B145" s="2" t="n">
        <x:f>COUNTIFS('Purchases'!$C$7:$C$352,A145)</x:f>
        <x:v>1</x:v>
      </x:c>
      <x:c r="C145" s="11" t="n">
        <x:f>SUMIFS('Purchases'!$G$7:$G$352,'Purchases'!$C$7:$C$352,A145)</x:f>
        <x:v>1000</x:v>
      </x:c>
      <x:c r="D145" s="11" t="n">
        <x:f>SUMIFS('Purchases'!$I$7:$I$352,'Purchases'!$C$7:$C$352,A145)</x:f>
        <x:v>0</x:v>
      </x:c>
      <x:c r="E145" s="9" t="n">
        <x:f>D145/'Summary'!$C$10</x:f>
        <x:v>0</x:v>
      </x:c>
      <x:c r="F145" s="2" t="str">
        <x:v>written off ($0 rule)</x:v>
      </x:c>
      <x:c r="G145" s="8" t="d">
        <x:v>2020-05-08T00:00:00.000Z</x:v>
      </x:c>
    </x:row>
    <x:row r="146" ht="22" customHeight="1">
      <x:c r="A146" s="2" t="str">
        <x:v>EMC-201609</x:v>
      </x:c>
      <x:c r="B146" s="2" t="n">
        <x:f>COUNTIFS('Purchases'!$C$7:$C$352,A146)</x:f>
        <x:v>1</x:v>
      </x:c>
      <x:c r="C146" s="11" t="n">
        <x:f>SUMIFS('Purchases'!$G$7:$G$352,'Purchases'!$C$7:$C$352,A146)</x:f>
        <x:v>1000</x:v>
      </x:c>
      <x:c r="D146" s="11" t="n">
        <x:f>SUMIFS('Purchases'!$I$7:$I$352,'Purchases'!$C$7:$C$352,A146)</x:f>
        <x:v>0</x:v>
      </x:c>
      <x:c r="E146" s="9" t="n">
        <x:f>D146/'Summary'!$C$10</x:f>
        <x:v>0</x:v>
      </x:c>
      <x:c r="F146" s="2" t="str">
        <x:v>written off ($0 rule)</x:v>
      </x:c>
      <x:c r="G146" s="8" t="d">
        <x:v>2016-09-06T00:00:00.000Z</x:v>
      </x:c>
    </x:row>
    <x:row r="147" ht="22" customHeight="1">
      <x:c r="A147" s="2" t="str">
        <x:v>DELL-201310</x:v>
      </x:c>
      <x:c r="B147" s="2" t="n">
        <x:f>COUNTIFS('Purchases'!$C$7:$C$352,A147)</x:f>
        <x:v>1</x:v>
      </x:c>
      <x:c r="C147" s="11" t="n">
        <x:f>SUMIFS('Purchases'!$G$7:$G$352,'Purchases'!$C$7:$C$352,A147)</x:f>
        <x:v>1000</x:v>
      </x:c>
      <x:c r="D147" s="11" t="n">
        <x:f>SUMIFS('Purchases'!$I$7:$I$352,'Purchases'!$C$7:$C$352,A147)</x:f>
        <x:v>0</x:v>
      </x:c>
      <x:c r="E147" s="9" t="n">
        <x:f>D147/'Summary'!$C$10</x:f>
        <x:v>0</x:v>
      </x:c>
      <x:c r="F147" s="2" t="str">
        <x:v>written off ($0 rule)</x:v>
      </x:c>
      <x:c r="G147" s="8" t="d">
        <x:v>2013-10-29T00:00:00.000Z</x:v>
      </x:c>
    </x:row>
    <x:row r="148" ht="22" customHeight="1">
      <x:c r="A148" s="2" t="str">
        <x:v>DF</x:v>
      </x:c>
      <x:c r="B148" s="2" t="n">
        <x:f>COUNTIFS('Purchases'!$C$7:$C$352,A148)</x:f>
        <x:v>2</x:v>
      </x:c>
      <x:c r="C148" s="11" t="n">
        <x:f>SUMIFS('Purchases'!$G$7:$G$352,'Purchases'!$C$7:$C$352,A148)</x:f>
        <x:v>2000</x:v>
      </x:c>
      <x:c r="D148" s="11" t="n">
        <x:f>SUMIFS('Purchases'!$I$7:$I$352,'Purchases'!$C$7:$C$352,A148)</x:f>
        <x:v>0</x:v>
      </x:c>
      <x:c r="E148" s="9" t="n">
        <x:f>D148/'Summary'!$C$10</x:f>
        <x:v>0</x:v>
      </x:c>
      <x:c r="F148" s="2" t="str">
        <x:v>written off ($0 rule)</x:v>
      </x:c>
      <x:c r="G148" s="8" t="d">
        <x:v>2018-03-27T00:00:00.000Z</x:v>
      </x:c>
    </x:row>
    <x:row r="149" ht="22" customHeight="1">
      <x:c r="A149" s="2" t="str">
        <x:v>CSRA-201804</x:v>
      </x:c>
      <x:c r="B149" s="2" t="n">
        <x:f>COUNTIFS('Purchases'!$C$7:$C$352,A149)</x:f>
        <x:v>1</x:v>
      </x:c>
      <x:c r="C149" s="11" t="n">
        <x:f>SUMIFS('Purchases'!$G$7:$G$352,'Purchases'!$C$7:$C$352,A149)</x:f>
        <x:v>1000</x:v>
      </x:c>
      <x:c r="D149" s="11" t="n">
        <x:f>SUMIFS('Purchases'!$I$7:$I$352,'Purchases'!$C$7:$C$352,A149)</x:f>
        <x:v>0</x:v>
      </x:c>
      <x:c r="E149" s="9" t="n">
        <x:f>D149/'Summary'!$C$10</x:f>
        <x:v>0</x:v>
      </x:c>
      <x:c r="F149" s="2" t="str">
        <x:v>written off ($0 rule)</x:v>
      </x:c>
      <x:c r="G149" s="8" t="d">
        <x:v>2018-04-03T00:00:00.000Z</x:v>
      </x:c>
    </x:row>
    <x:row r="150" ht="22" customHeight="1">
      <x:c r="A150" s="2" t="str">
        <x:v>CTRA</x:v>
      </x:c>
      <x:c r="B150" s="2" t="n">
        <x:f>COUNTIFS('Purchases'!$C$7:$C$352,A150)</x:f>
        <x:v>1</x:v>
      </x:c>
      <x:c r="C150" s="11" t="n">
        <x:f>SUMIFS('Purchases'!$G$7:$G$352,'Purchases'!$C$7:$C$352,A150)</x:f>
        <x:v>1000</x:v>
      </x:c>
      <x:c r="D150" s="11" t="n">
        <x:f>SUMIFS('Purchases'!$I$7:$I$352,'Purchases'!$C$7:$C$352,A150)</x:f>
        <x:v>0</x:v>
      </x:c>
      <x:c r="E150" s="9" t="n">
        <x:f>D150/'Summary'!$C$10</x:f>
        <x:v>0</x:v>
      </x:c>
      <x:c r="F150" s="2" t="str">
        <x:v>written off ($0 rule)</x:v>
      </x:c>
      <x:c r="G150" s="8" t="d">
        <x:v>2026-05-06T00:00:00.000Z</x:v>
      </x:c>
    </x:row>
    <x:row r="151" ht="22" customHeight="1">
      <x:c r="A151" s="2" t="str">
        <x:v>CTLT</x:v>
      </x:c>
      <x:c r="B151" s="2" t="n">
        <x:f>COUNTIFS('Purchases'!$C$7:$C$352,A151)</x:f>
        <x:v>1</x:v>
      </x:c>
      <x:c r="C151" s="11" t="n">
        <x:f>SUMIFS('Purchases'!$G$7:$G$352,'Purchases'!$C$7:$C$352,A151)</x:f>
        <x:v>1000</x:v>
      </x:c>
      <x:c r="D151" s="11" t="n">
        <x:f>SUMIFS('Purchases'!$I$7:$I$352,'Purchases'!$C$7:$C$352,A151)</x:f>
        <x:v>0</x:v>
      </x:c>
      <x:c r="E151" s="9" t="n">
        <x:f>D151/'Summary'!$C$10</x:f>
        <x:v>0</x:v>
      </x:c>
      <x:c r="F151" s="2" t="str">
        <x:v>written off ($0 rule)</x:v>
      </x:c>
      <x:c r="G151" s="8" t="d">
        <x:v>2024-12-17T00:00:00.000Z</x:v>
      </x:c>
    </x:row>
    <x:row r="152" ht="22" customHeight="1">
      <x:c r="A152" s="2" t="str">
        <x:v>CTXS</x:v>
      </x:c>
      <x:c r="B152" s="2" t="n">
        <x:f>COUNTIFS('Purchases'!$C$7:$C$352,A152)</x:f>
        <x:v>3</x:v>
      </x:c>
      <x:c r="C152" s="11" t="n">
        <x:f>SUMIFS('Purchases'!$G$7:$G$352,'Purchases'!$C$7:$C$352,A152)</x:f>
        <x:v>3000</x:v>
      </x:c>
      <x:c r="D152" s="11" t="n">
        <x:f>SUMIFS('Purchases'!$I$7:$I$352,'Purchases'!$C$7:$C$352,A152)</x:f>
        <x:v>0</x:v>
      </x:c>
      <x:c r="E152" s="9" t="n">
        <x:f>D152/'Summary'!$C$10</x:f>
        <x:v>0</x:v>
      </x:c>
      <x:c r="F152" s="2" t="str">
        <x:v>written off ($0 rule)</x:v>
      </x:c>
      <x:c r="G152" s="8" t="d">
        <x:v>2022-09-29T00:00:00.000Z</x:v>
      </x:c>
    </x:row>
    <x:row r="153" ht="22" customHeight="1">
      <x:c r="A153" s="2" t="str">
        <x:v>CVC-201606</x:v>
      </x:c>
      <x:c r="B153" s="2" t="n">
        <x:f>COUNTIFS('Purchases'!$C$7:$C$352,A153)</x:f>
        <x:v>1</x:v>
      </x:c>
      <x:c r="C153" s="11" t="n">
        <x:f>SUMIFS('Purchases'!$G$7:$G$352,'Purchases'!$C$7:$C$352,A153)</x:f>
        <x:v>1000</x:v>
      </x:c>
      <x:c r="D153" s="11" t="n">
        <x:f>SUMIFS('Purchases'!$I$7:$I$352,'Purchases'!$C$7:$C$352,A153)</x:f>
        <x:v>0</x:v>
      </x:c>
      <x:c r="E153" s="9" t="n">
        <x:f>D153/'Summary'!$C$10</x:f>
        <x:v>0</x:v>
      </x:c>
      <x:c r="F153" s="2" t="str">
        <x:v>written off ($0 rule)</x:v>
      </x:c>
      <x:c r="G153" s="8" t="d">
        <x:v>2016-06-20T00:00:00.000Z</x:v>
      </x:c>
    </x:row>
    <x:row r="154" ht="22" customHeight="1">
      <x:c r="A154" s="2" t="str">
        <x:v>CPWR-201412</x:v>
      </x:c>
      <x:c r="B154" s="2" t="n">
        <x:f>COUNTIFS('Purchases'!$C$7:$C$352,A154)</x:f>
        <x:v>2</x:v>
      </x:c>
      <x:c r="C154" s="11" t="n">
        <x:f>SUMIFS('Purchases'!$G$7:$G$352,'Purchases'!$C$7:$C$352,A154)</x:f>
        <x:v>2000</x:v>
      </x:c>
      <x:c r="D154" s="11" t="n">
        <x:f>SUMIFS('Purchases'!$I$7:$I$352,'Purchases'!$C$7:$C$352,A154)</x:f>
        <x:v>0</x:v>
      </x:c>
      <x:c r="E154" s="9" t="n">
        <x:f>D154/'Summary'!$C$10</x:f>
        <x:v>0</x:v>
      </x:c>
      <x:c r="F154" s="2" t="str">
        <x:v>written off ($0 rule)</x:v>
      </x:c>
      <x:c r="G154" s="8" t="d">
        <x:v>2014-12-15T00:00:00.000Z</x:v>
      </x:c>
    </x:row>
    <x:row r="155" ht="22" customHeight="1">
      <x:c r="A155" s="2" t="str">
        <x:v>COL-201811</x:v>
      </x:c>
      <x:c r="B155" s="2" t="n">
        <x:f>COUNTIFS('Purchases'!$C$7:$C$352,A155)</x:f>
        <x:v>1</x:v>
      </x:c>
      <x:c r="C155" s="11" t="n">
        <x:f>SUMIFS('Purchases'!$G$7:$G$352,'Purchases'!$C$7:$C$352,A155)</x:f>
        <x:v>1000</x:v>
      </x:c>
      <x:c r="D155" s="11" t="n">
        <x:f>SUMIFS('Purchases'!$I$7:$I$352,'Purchases'!$C$7:$C$352,A155)</x:f>
        <x:v>0</x:v>
      </x:c>
      <x:c r="E155" s="9" t="n">
        <x:f>D155/'Summary'!$C$10</x:f>
        <x:v>0</x:v>
      </x:c>
      <x:c r="F155" s="2" t="str">
        <x:v>written off ($0 rule)</x:v>
      </x:c>
      <x:c r="G155" s="8" t="d">
        <x:v>2018-11-26T00:00:00.000Z</x:v>
      </x:c>
    </x:row>
    <x:row r="156" ht="22" customHeight="1">
      <x:c r="A156" s="2" t="str">
        <x:v>BRCM-201601</x:v>
      </x:c>
      <x:c r="B156" s="2" t="n">
        <x:f>COUNTIFS('Purchases'!$C$7:$C$352,A156)</x:f>
        <x:v>1</x:v>
      </x:c>
      <x:c r="C156" s="11" t="n">
        <x:f>SUMIFS('Purchases'!$G$7:$G$352,'Purchases'!$C$7:$C$352,A156)</x:f>
        <x:v>1000</x:v>
      </x:c>
      <x:c r="D156" s="11" t="n">
        <x:f>SUMIFS('Purchases'!$I$7:$I$352,'Purchases'!$C$7:$C$352,A156)</x:f>
        <x:v>0</x:v>
      </x:c>
      <x:c r="E156" s="9" t="n">
        <x:f>D156/'Summary'!$C$10</x:f>
        <x:v>0</x:v>
      </x:c>
      <x:c r="F156" s="2" t="str">
        <x:v>written off ($0 rule)</x:v>
      </x:c>
      <x:c r="G156" s="8" t="d">
        <x:v>2016-01-29T00:00:00.000Z</x:v>
      </x:c>
    </x:row>
    <x:row r="157" ht="22" customHeight="1">
      <x:c r="A157" s="2" t="str">
        <x:v>BIG</x:v>
      </x:c>
      <x:c r="B157" s="2" t="n">
        <x:f>COUNTIFS('Purchases'!$C$7:$C$352,A157)</x:f>
        <x:v>3</x:v>
      </x:c>
      <x:c r="C157" s="11" t="n">
        <x:f>SUMIFS('Purchases'!$G$7:$G$352,'Purchases'!$C$7:$C$352,A157)</x:f>
        <x:v>3000</x:v>
      </x:c>
      <x:c r="D157" s="11" t="n">
        <x:f>SUMIFS('Purchases'!$I$7:$I$352,'Purchases'!$C$7:$C$352,A157)</x:f>
        <x:v>0</x:v>
      </x:c>
      <x:c r="E157" s="9" t="n">
        <x:f>D157/'Summary'!$C$10</x:f>
        <x:v>0</x:v>
      </x:c>
      <x:c r="F157" s="2" t="str">
        <x:v>written off ($0 rule)</x:v>
      </x:c>
      <x:c r="G157" s="8" t="d">
        <x:v>2018-03-27T00:00:00.000Z</x:v>
      </x:c>
    </x:row>
    <x:row r="158" ht="22" customHeight="1">
      <x:c r="A158" s="2" t="str">
        <x:v>BCR-201712</x:v>
      </x:c>
      <x:c r="B158" s="2" t="n">
        <x:f>COUNTIFS('Purchases'!$C$7:$C$352,A158)</x:f>
        <x:v>1</x:v>
      </x:c>
      <x:c r="C158" s="11" t="n">
        <x:f>SUMIFS('Purchases'!$G$7:$G$352,'Purchases'!$C$7:$C$352,A158)</x:f>
        <x:v>1000</x:v>
      </x:c>
      <x:c r="D158" s="11" t="n">
        <x:f>SUMIFS('Purchases'!$I$7:$I$352,'Purchases'!$C$7:$C$352,A158)</x:f>
        <x:v>0</x:v>
      </x:c>
      <x:c r="E158" s="9" t="n">
        <x:f>D158/'Summary'!$C$10</x:f>
        <x:v>0</x:v>
      </x:c>
      <x:c r="F158" s="2" t="str">
        <x:v>written off ($0 rule)</x:v>
      </x:c>
      <x:c r="G158" s="8" t="d">
        <x:v>2017-12-28T00:00:00.000Z</x:v>
      </x:c>
    </x:row>
    <x:row r="159" ht="22" customHeight="1">
      <x:c r="A159" s="2" t="str">
        <x:v>CERN</x:v>
      </x:c>
      <x:c r="B159" s="2" t="n">
        <x:f>COUNTIFS('Purchases'!$C$7:$C$352,A159)</x:f>
        <x:v>1</x:v>
      </x:c>
      <x:c r="C159" s="11" t="n">
        <x:f>SUMIFS('Purchases'!$G$7:$G$352,'Purchases'!$C$7:$C$352,A159)</x:f>
        <x:v>1000</x:v>
      </x:c>
      <x:c r="D159" s="11" t="n">
        <x:f>SUMIFS('Purchases'!$I$7:$I$352,'Purchases'!$C$7:$C$352,A159)</x:f>
        <x:v>0</x:v>
      </x:c>
      <x:c r="E159" s="9" t="n">
        <x:f>D159/'Summary'!$C$10</x:f>
        <x:v>0</x:v>
      </x:c>
      <x:c r="F159" s="2" t="str">
        <x:v>written off ($0 rule)</x:v>
      </x:c>
      <x:c r="G159" s="8" t="d">
        <x:v>2022-06-07T00:00:00.000Z</x:v>
      </x:c>
    </x:row>
    <x:row r="160" ht="22" customHeight="1">
      <x:c r="A160" s="2" t="str">
        <x:v>CHK</x:v>
      </x:c>
      <x:c r="B160" s="2" t="n">
        <x:f>COUNTIFS('Purchases'!$C$7:$C$352,A160)</x:f>
        <x:v>2</x:v>
      </x:c>
      <x:c r="C160" s="11" t="n">
        <x:f>SUMIFS('Purchases'!$G$7:$G$352,'Purchases'!$C$7:$C$352,A160)</x:f>
        <x:v>2000</x:v>
      </x:c>
      <x:c r="D160" s="11" t="n">
        <x:f>SUMIFS('Purchases'!$I$7:$I$352,'Purchases'!$C$7:$C$352,A160)</x:f>
        <x:v>0</x:v>
      </x:c>
      <x:c r="E160" s="9" t="n">
        <x:f>D160/'Summary'!$C$10</x:f>
        <x:v>0</x:v>
      </x:c>
      <x:c r="F160" s="2" t="str">
        <x:v>written off ($0 rule)</x:v>
      </x:c>
      <x:c r="G160" s="8" t="d">
        <x:v>2024-10-04T00:00:00.000Z</x:v>
      </x:c>
    </x:row>
    <x:row r="161" ht="22" customHeight="1">
      <x:c r="A161" s="2" t="str">
        <x:v>CFN-201503</x:v>
      </x:c>
      <x:c r="B161" s="2" t="n">
        <x:f>COUNTIFS('Purchases'!$C$7:$C$352,A161)</x:f>
        <x:v>1</x:v>
      </x:c>
      <x:c r="C161" s="11" t="n">
        <x:f>SUMIFS('Purchases'!$G$7:$G$352,'Purchases'!$C$7:$C$352,A161)</x:f>
        <x:v>1000</x:v>
      </x:c>
      <x:c r="D161" s="11" t="n">
        <x:f>SUMIFS('Purchases'!$I$7:$I$352,'Purchases'!$C$7:$C$352,A161)</x:f>
        <x:v>0</x:v>
      </x:c>
      <x:c r="E161" s="9" t="n">
        <x:f>D161/'Summary'!$C$10</x:f>
        <x:v>0</x:v>
      </x:c>
      <x:c r="F161" s="2" t="str">
        <x:v>written off ($0 rule)</x:v>
      </x:c>
      <x:c r="G161" s="8" t="d">
        <x:v>2015-03-16T00:00:00.000Z</x:v>
      </x:c>
    </x:row>
    <x:row r="162" ht="22" customHeight="1">
      <x:c r="A162" s="2" t="str">
        <x:v>CB-201601</x:v>
      </x:c>
      <x:c r="B162" s="2" t="n">
        <x:f>COUNTIFS('Purchases'!$C$7:$C$352,A162)</x:f>
        <x:v>1</x:v>
      </x:c>
      <x:c r="C162" s="11" t="n">
        <x:f>SUMIFS('Purchases'!$G$7:$G$352,'Purchases'!$C$7:$C$352,A162)</x:f>
        <x:v>1000</x:v>
      </x:c>
      <x:c r="D162" s="11" t="n">
        <x:f>SUMIFS('Purchases'!$I$7:$I$352,'Purchases'!$C$7:$C$352,A162)</x:f>
        <x:v>0</x:v>
      </x:c>
      <x:c r="E162" s="9" t="n">
        <x:f>D162/'Summary'!$C$10</x:f>
        <x:v>0</x:v>
      </x:c>
      <x:c r="F162" s="2" t="str">
        <x:v>written off ($0 rule)</x:v>
      </x:c>
      <x:c r="G162" s="8" t="d">
        <x:v>2016-01-14T00:00:00.000Z</x:v>
      </x:c>
    </x:row>
    <x:row r="163" ht="22" customHeight="1">
      <x:c r="A163" s="2" t="str">
        <x:v>CAM-201604</x:v>
      </x:c>
      <x:c r="B163" s="2" t="n">
        <x:f>COUNTIFS('Purchases'!$C$7:$C$352,A163)</x:f>
        <x:v>1</x:v>
      </x:c>
      <x:c r="C163" s="11" t="n">
        <x:f>SUMIFS('Purchases'!$G$7:$G$352,'Purchases'!$C$7:$C$352,A163)</x:f>
        <x:v>1000</x:v>
      </x:c>
      <x:c r="D163" s="11" t="n">
        <x:f>SUMIFS('Purchases'!$I$7:$I$352,'Purchases'!$C$7:$C$352,A163)</x:f>
        <x:v>0</x:v>
      </x:c>
      <x:c r="E163" s="9" t="n">
        <x:f>D163/'Summary'!$C$10</x:f>
        <x:v>0</x:v>
      </x:c>
      <x:c r="F163" s="2" t="str">
        <x:v>written off ($0 rule)</x:v>
      </x:c>
      <x:c r="G163" s="8" t="d">
        <x:v>2016-04-01T00:00:00.000Z</x:v>
      </x:c>
    </x:row>
    <x:row r="164" ht="22" customHeight="1">
      <x:c r="A164" s="2" t="str">
        <x:v>APC-201908</x:v>
      </x:c>
      <x:c r="B164" s="2" t="n">
        <x:f>COUNTIFS('Purchases'!$C$7:$C$352,A164)</x:f>
        <x:v>2</x:v>
      </x:c>
      <x:c r="C164" s="11" t="n">
        <x:f>SUMIFS('Purchases'!$G$7:$G$352,'Purchases'!$C$7:$C$352,A164)</x:f>
        <x:v>2000</x:v>
      </x:c>
      <x:c r="D164" s="11" t="n">
        <x:f>SUMIFS('Purchases'!$I$7:$I$352,'Purchases'!$C$7:$C$352,A164)</x:f>
        <x:v>0</x:v>
      </x:c>
      <x:c r="E164" s="9" t="n">
        <x:f>D164/'Summary'!$C$10</x:f>
        <x:v>0</x:v>
      </x:c>
      <x:c r="F164" s="2" t="str">
        <x:v>written off ($0 rule)</x:v>
      </x:c>
      <x:c r="G164" s="8" t="d">
        <x:v>2019-08-08T00:00:00.000Z</x:v>
      </x:c>
    </x:row>
    <x:row r="165" ht="22" customHeight="1">
      <x:c r="A165" s="2" t="str">
        <x:v>FTR</x:v>
      </x:c>
      <x:c r="B165" s="2" t="n">
        <x:f>COUNTIFS('Purchases'!$C$7:$C$352,A165)</x:f>
        <x:v>1</x:v>
      </x:c>
      <x:c r="C165" s="11" t="n">
        <x:f>SUMIFS('Purchases'!$G$7:$G$352,'Purchases'!$C$7:$C$352,A165)</x:f>
        <x:v>1000</x:v>
      </x:c>
      <x:c r="D165" s="11" t="n">
        <x:f>SUMIFS('Purchases'!$I$7:$I$352,'Purchases'!$C$7:$C$352,A165)</x:f>
        <x:v>0</x:v>
      </x:c>
      <x:c r="E165" s="9" t="n">
        <x:f>D165/'Summary'!$C$10</x:f>
        <x:v>0</x:v>
      </x:c>
      <x:c r="F165" s="2" t="str">
        <x:v>written off ($0 rule)</x:v>
      </x:c>
      <x:c r="G165" s="8" t="d">
        <x:v>2018-03-07T00:00:00.000Z</x:v>
      </x:c>
    </x:row>
    <x:row r="166" ht="22" customHeight="1">
      <x:c r="A166" s="2" t="str">
        <x:v>GMCR-201603</x:v>
      </x:c>
      <x:c r="B166" s="2" t="n">
        <x:f>COUNTIFS('Purchases'!$C$7:$C$352,A166)</x:f>
        <x:v>1</x:v>
      </x:c>
      <x:c r="C166" s="11" t="n">
        <x:f>SUMIFS('Purchases'!$G$7:$G$352,'Purchases'!$C$7:$C$352,A166)</x:f>
        <x:v>1000</x:v>
      </x:c>
      <x:c r="D166" s="11" t="n">
        <x:f>SUMIFS('Purchases'!$I$7:$I$352,'Purchases'!$C$7:$C$352,A166)</x:f>
        <x:v>0</x:v>
      </x:c>
      <x:c r="E166" s="9" t="n">
        <x:f>D166/'Summary'!$C$10</x:f>
        <x:v>0</x:v>
      </x:c>
      <x:c r="F166" s="2" t="str">
        <x:v>written off ($0 rule)</x:v>
      </x:c>
      <x:c r="G166" s="8" t="d">
        <x:v>2016-03-02T00:00:00.000Z</x:v>
      </x:c>
    </x:row>
    <x:row r="167" ht="22" customHeight="1">
      <x:c r="A167" s="2" t="str">
        <x:v>FL</x:v>
      </x:c>
      <x:c r="B167" s="2" t="n">
        <x:f>COUNTIFS('Purchases'!$C$7:$C$352,A167)</x:f>
        <x:v>1</x:v>
      </x:c>
      <x:c r="C167" s="11" t="n">
        <x:f>SUMIFS('Purchases'!$G$7:$G$352,'Purchases'!$C$7:$C$352,A167)</x:f>
        <x:v>1000</x:v>
      </x:c>
      <x:c r="D167" s="11" t="n">
        <x:f>SUMIFS('Purchases'!$I$7:$I$352,'Purchases'!$C$7:$C$352,A167)</x:f>
        <x:v>0</x:v>
      </x:c>
      <x:c r="E167" s="9" t="n">
        <x:f>D167/'Summary'!$C$10</x:f>
        <x:v>0</x:v>
      </x:c>
      <x:c r="F167" s="2" t="str">
        <x:v>written off ($0 rule)</x:v>
      </x:c>
      <x:c r="G167" s="8" t="d">
        <x:v>2025-09-05T00:00:00.000Z</x:v>
      </x:c>
    </x:row>
    <x:row r="168" ht="22" customHeight="1">
      <x:c r="A168" s="2" t="str">
        <x:v>FRX-201406</x:v>
      </x:c>
      <x:c r="B168" s="2" t="n">
        <x:f>COUNTIFS('Purchases'!$C$7:$C$352,A168)</x:f>
        <x:v>2</x:v>
      </x:c>
      <x:c r="C168" s="11" t="n">
        <x:f>SUMIFS('Purchases'!$G$7:$G$352,'Purchases'!$C$7:$C$352,A168)</x:f>
        <x:v>2000</x:v>
      </x:c>
      <x:c r="D168" s="11" t="n">
        <x:f>SUMIFS('Purchases'!$I$7:$I$352,'Purchases'!$C$7:$C$352,A168)</x:f>
        <x:v>0</x:v>
      </x:c>
      <x:c r="E168" s="9" t="n">
        <x:f>D168/'Summary'!$C$10</x:f>
        <x:v>0</x:v>
      </x:c>
      <x:c r="F168" s="2" t="str">
        <x:v>written off ($0 rule)</x:v>
      </x:c>
      <x:c r="G168" s="8" t="d">
        <x:v>2014-06-30T00:00:00.000Z</x:v>
      </x:c>
    </x:row>
    <x:row r="169" ht="22" customHeight="1">
      <x:c r="A169" s="2" t="str">
        <x:v>MRO</x:v>
      </x:c>
      <x:c r="B169" s="2" t="n">
        <x:f>COUNTIFS('Purchases'!$C$7:$C$352,A169)</x:f>
        <x:v>2</x:v>
      </x:c>
      <x:c r="C169" s="11" t="n">
        <x:f>SUMIFS('Purchases'!$G$7:$G$352,'Purchases'!$C$7:$C$352,A169)</x:f>
        <x:v>2000</x:v>
      </x:c>
      <x:c r="D169" s="11" t="n">
        <x:f>SUMIFS('Purchases'!$I$7:$I$352,'Purchases'!$C$7:$C$352,A169)</x:f>
        <x:v>0</x:v>
      </x:c>
      <x:c r="E169" s="9" t="n">
        <x:f>D169/'Summary'!$C$10</x:f>
        <x:v>0</x:v>
      </x:c>
      <x:c r="F169" s="2" t="str">
        <x:v>written off ($0 rule)</x:v>
      </x:c>
      <x:c r="G169" s="8" t="d">
        <x:v>2024-11-21T00:00:00.000Z</x:v>
      </x:c>
    </x:row>
    <x:row r="170" ht="22" customHeight="1">
      <x:c r="A170" s="2" t="str">
        <x:v>LXK-201611</x:v>
      </x:c>
      <x:c r="B170" s="2" t="n">
        <x:f>COUNTIFS('Purchases'!$C$7:$C$352,A170)</x:f>
        <x:v>3</x:v>
      </x:c>
      <x:c r="C170" s="11" t="n">
        <x:f>SUMIFS('Purchases'!$G$7:$G$352,'Purchases'!$C$7:$C$352,A170)</x:f>
        <x:v>3000</x:v>
      </x:c>
      <x:c r="D170" s="11" t="n">
        <x:f>SUMIFS('Purchases'!$I$7:$I$352,'Purchases'!$C$7:$C$352,A170)</x:f>
        <x:v>0</x:v>
      </x:c>
      <x:c r="E170" s="9" t="n">
        <x:f>D170/'Summary'!$C$10</x:f>
        <x:v>0</x:v>
      </x:c>
      <x:c r="F170" s="2" t="str">
        <x:v>written off ($0 rule)</x:v>
      </x:c>
      <x:c r="G170" s="8" t="d">
        <x:v>2016-11-28T00:00:00.000Z</x:v>
      </x:c>
    </x:row>
    <x:row r="171" ht="22" customHeight="1">
      <x:c r="A171" s="2" t="str">
        <x:v>K</x:v>
      </x:c>
      <x:c r="B171" s="2" t="n">
        <x:f>COUNTIFS('Purchases'!$C$7:$C$352,A171)</x:f>
        <x:v>1</x:v>
      </x:c>
      <x:c r="C171" s="11" t="n">
        <x:f>SUMIFS('Purchases'!$G$7:$G$352,'Purchases'!$C$7:$C$352,A171)</x:f>
        <x:v>1000</x:v>
      </x:c>
      <x:c r="D171" s="11" t="n">
        <x:f>SUMIFS('Purchases'!$I$7:$I$352,'Purchases'!$C$7:$C$352,A171)</x:f>
        <x:v>0</x:v>
      </x:c>
      <x:c r="E171" s="9" t="n">
        <x:f>D171/'Summary'!$C$10</x:f>
        <x:v>0</x:v>
      </x:c>
      <x:c r="F171" s="2" t="str">
        <x:v>written off ($0 rule)</x:v>
      </x:c>
      <x:c r="G171" s="8" t="d">
        <x:v>2025-12-10T00:00:00.000Z</x:v>
      </x:c>
    </x:row>
    <x:row r="172" ht="22" customHeight="1">
      <x:c r="A172" s="2" t="str">
        <x:v>KRFT-201507</x:v>
      </x:c>
      <x:c r="B172" s="2" t="n">
        <x:f>COUNTIFS('Purchases'!$C$7:$C$352,A172)</x:f>
        <x:v>1</x:v>
      </x:c>
      <x:c r="C172" s="11" t="n">
        <x:f>SUMIFS('Purchases'!$G$7:$G$352,'Purchases'!$C$7:$C$352,A172)</x:f>
        <x:v>1000</x:v>
      </x:c>
      <x:c r="D172" s="11" t="n">
        <x:f>SUMIFS('Purchases'!$I$7:$I$352,'Purchases'!$C$7:$C$352,A172)</x:f>
        <x:v>0</x:v>
      </x:c>
      <x:c r="E172" s="9" t="n">
        <x:f>D172/'Summary'!$C$10</x:f>
        <x:v>0</x:v>
      </x:c>
      <x:c r="F172" s="2" t="str">
        <x:v>written off ($0 rule)</x:v>
      </x:c>
      <x:c r="G172" s="8" t="d">
        <x:v>2015-07-02T00:00:00.000Z</x:v>
      </x:c>
    </x:row>
    <x:row r="173" ht="22" customHeight="1">
      <x:c r="A173" s="2" t="str">
        <x:v>HAR-201703</x:v>
      </x:c>
      <x:c r="B173" s="2" t="n">
        <x:f>COUNTIFS('Purchases'!$C$7:$C$352,A173)</x:f>
        <x:v>4</x:v>
      </x:c>
      <x:c r="C173" s="11" t="n">
        <x:f>SUMIFS('Purchases'!$G$7:$G$352,'Purchases'!$C$7:$C$352,A173)</x:f>
        <x:v>4000</x:v>
      </x:c>
      <x:c r="D173" s="11" t="n">
        <x:f>SUMIFS('Purchases'!$I$7:$I$352,'Purchases'!$C$7:$C$352,A173)</x:f>
        <x:v>0</x:v>
      </x:c>
      <x:c r="E173" s="9" t="n">
        <x:f>D173/'Summary'!$C$10</x:f>
        <x:v>0</x:v>
      </x:c>
      <x:c r="F173" s="2" t="str">
        <x:v>written off ($0 rule)</x:v>
      </x:c>
      <x:c r="G173" s="8" t="d">
        <x:v>2017-03-10T00:00:00.000Z</x:v>
      </x:c>
    </x:row>
    <x:row r="174" ht="22" customHeight="1">
      <x:c r="A174" s="2" t="str">
        <x:v>HES</x:v>
      </x:c>
      <x:c r="B174" s="2" t="n">
        <x:f>COUNTIFS('Purchases'!$C$7:$C$352,A174)</x:f>
        <x:v>1</x:v>
      </x:c>
      <x:c r="C174" s="11" t="n">
        <x:f>SUMIFS('Purchases'!$G$7:$G$352,'Purchases'!$C$7:$C$352,A174)</x:f>
        <x:v>1000</x:v>
      </x:c>
      <x:c r="D174" s="11" t="n">
        <x:f>SUMIFS('Purchases'!$I$7:$I$352,'Purchases'!$C$7:$C$352,A174)</x:f>
        <x:v>0</x:v>
      </x:c>
      <x:c r="E174" s="9" t="n">
        <x:f>D174/'Summary'!$C$10</x:f>
        <x:v>0</x:v>
      </x:c>
      <x:c r="F174" s="2" t="str">
        <x:v>written off ($0 rule)</x:v>
      </x:c>
      <x:c r="G174" s="8" t="d">
        <x:v>2025-07-17T00:00:00.000Z</x:v>
      </x:c>
    </x:row>
    <x:row r="175" ht="22" customHeight="1">
      <x:c r="A175" s="2" t="str">
        <x:v>IGT-201504</x:v>
      </x:c>
      <x:c r="B175" s="2" t="n">
        <x:f>COUNTIFS('Purchases'!$C$7:$C$352,A175)</x:f>
        <x:v>1</x:v>
      </x:c>
      <x:c r="C175" s="11" t="n">
        <x:f>SUMIFS('Purchases'!$G$7:$G$352,'Purchases'!$C$7:$C$352,A175)</x:f>
        <x:v>1000</x:v>
      </x:c>
      <x:c r="D175" s="11" t="n">
        <x:f>SUMIFS('Purchases'!$I$7:$I$352,'Purchases'!$C$7:$C$352,A175)</x:f>
        <x:v>0</x:v>
      </x:c>
      <x:c r="E175" s="9" t="n">
        <x:f>D175/'Summary'!$C$10</x:f>
        <x:v>0</x:v>
      </x:c>
      <x:c r="F175" s="2" t="str">
        <x:v>written off ($0 rule)</x:v>
      </x:c>
      <x:c r="G175" s="8" t="d">
        <x:v>2015-04-06T00:00:00.000Z</x:v>
      </x:c>
    </x:row>
    <x:row r="176" ht="22" customHeight="1">
      <x:c r="A176" s="2" t="str">
        <x:v>JCP</x:v>
      </x:c>
      <x:c r="B176" s="2" t="n">
        <x:f>COUNTIFS('Purchases'!$C$7:$C$352,A176)</x:f>
        <x:v>2</x:v>
      </x:c>
      <x:c r="C176" s="11" t="n">
        <x:f>SUMIFS('Purchases'!$G$7:$G$352,'Purchases'!$C$7:$C$352,A176)</x:f>
        <x:v>2000</x:v>
      </x:c>
      <x:c r="D176" s="11" t="n">
        <x:f>SUMIFS('Purchases'!$I$7:$I$352,'Purchases'!$C$7:$C$352,A176)</x:f>
        <x:v>0</x:v>
      </x:c>
      <x:c r="E176" s="9" t="n">
        <x:f>D176/'Summary'!$C$10</x:f>
        <x:v>0</x:v>
      </x:c>
      <x:c r="F176" s="2" t="str">
        <x:v>written off ($0 rule)</x:v>
      </x:c>
      <x:c r="G176" s="8" t="d">
        <x:v>2018-03-27T00:00:00.000Z</x:v>
      </x:c>
    </x:row>
    <x:row r="177" ht="22" customHeight="1">
      <x:c r="A177" s="2" t="str">
        <x:v>JNPR</x:v>
      </x:c>
      <x:c r="B177" s="2" t="n">
        <x:f>COUNTIFS('Purchases'!$C$7:$C$352,A177)</x:f>
        <x:v>2</x:v>
      </x:c>
      <x:c r="C177" s="11" t="n">
        <x:f>SUMIFS('Purchases'!$G$7:$G$352,'Purchases'!$C$7:$C$352,A177)</x:f>
        <x:v>2000</x:v>
      </x:c>
      <x:c r="D177" s="11" t="n">
        <x:f>SUMIFS('Purchases'!$I$7:$I$352,'Purchases'!$C$7:$C$352,A177)</x:f>
        <x:v>0</x:v>
      </x:c>
      <x:c r="E177" s="9" t="n">
        <x:f>D177/'Summary'!$C$10</x:f>
        <x:v>0</x:v>
      </x:c>
      <x:c r="F177" s="2" t="str">
        <x:v>written off ($0 rule)</x:v>
      </x:c>
      <x:c r="G177" s="8" t="d">
        <x:v>2025-07-01T00:00:00.000Z</x:v>
      </x:c>
    </x:row>
    <x:row r="178" ht="22" customHeight="1">
      <x:c r="A178" s="2" t="str">
        <x:v>NYX-201311</x:v>
      </x:c>
      <x:c r="B178" s="2" t="n">
        <x:f>COUNTIFS('Purchases'!$C$7:$C$352,A178)</x:f>
        <x:v>1</x:v>
      </x:c>
      <x:c r="C178" s="11" t="n">
        <x:f>SUMIFS('Purchases'!$G$7:$G$352,'Purchases'!$C$7:$C$352,A178)</x:f>
        <x:v>1000</x:v>
      </x:c>
      <x:c r="D178" s="11" t="n">
        <x:f>SUMIFS('Purchases'!$I$7:$I$352,'Purchases'!$C$7:$C$352,A178)</x:f>
        <x:v>0</x:v>
      </x:c>
      <x:c r="E178" s="9" t="n">
        <x:f>D178/'Summary'!$C$10</x:f>
        <x:v>0</x:v>
      </x:c>
      <x:c r="F178" s="2" t="str">
        <x:v>written off ($0 rule)</x:v>
      </x:c>
      <x:c r="G178" s="8" t="d">
        <x:v>2013-11-12T00:00:00.000Z</x:v>
      </x:c>
    </x:row>
    <x:row r="179" ht="22" customHeight="1">
      <x:c r="A179" s="2" t="str">
        <x:v>NLSN</x:v>
      </x:c>
      <x:c r="B179" s="2" t="n">
        <x:f>COUNTIFS('Purchases'!$C$7:$C$352,A179)</x:f>
        <x:v>2</x:v>
      </x:c>
      <x:c r="C179" s="11" t="n">
        <x:f>SUMIFS('Purchases'!$G$7:$G$352,'Purchases'!$C$7:$C$352,A179)</x:f>
        <x:v>2000</x:v>
      </x:c>
      <x:c r="D179" s="11" t="n">
        <x:f>SUMIFS('Purchases'!$I$7:$I$352,'Purchases'!$C$7:$C$352,A179)</x:f>
        <x:v>0</x:v>
      </x:c>
      <x:c r="E179" s="9" t="n">
        <x:f>D179/'Summary'!$C$10</x:f>
        <x:v>0</x:v>
      </x:c>
      <x:c r="F179" s="2" t="str">
        <x:v>written off ($0 rule)</x:v>
      </x:c>
      <x:c r="G179" s="8" t="d">
        <x:v>2022-10-11T00:00:00.000Z</x:v>
      </x:c>
    </x:row>
    <x:row r="180" ht="22" customHeight="1">
      <x:c r="A180" s="2" t="str">
        <x:v>MWW-201610</x:v>
      </x:c>
      <x:c r="B180" s="2" t="n">
        <x:f>COUNTIFS('Purchases'!$C$7:$C$352,A180)</x:f>
        <x:v>4</x:v>
      </x:c>
      <x:c r="C180" s="11" t="n">
        <x:f>SUMIFS('Purchases'!$G$7:$G$352,'Purchases'!$C$7:$C$352,A180)</x:f>
        <x:v>4000</x:v>
      </x:c>
      <x:c r="D180" s="11" t="n">
        <x:f>SUMIFS('Purchases'!$I$7:$I$352,'Purchases'!$C$7:$C$352,A180)</x:f>
        <x:v>0</x:v>
      </x:c>
      <x:c r="E180" s="9" t="n">
        <x:f>D180/'Summary'!$C$10</x:f>
        <x:v>0</x:v>
      </x:c>
      <x:c r="F180" s="2" t="str">
        <x:v>written off ($0 rule)</x:v>
      </x:c>
      <x:c r="G180" s="8" t="d">
        <x:v>2016-10-31T00:00:00.000Z</x:v>
      </x:c>
    </x:row>
    <x:row r="181" ht="22" customHeight="1">
      <x:c r="A181" s="2" t="str">
        <x:v>LO-201506</x:v>
      </x:c>
      <x:c r="B181" s="2" t="n">
        <x:f>COUNTIFS('Purchases'!$C$7:$C$352,A181)</x:f>
        <x:v>1</x:v>
      </x:c>
      <x:c r="C181" s="11" t="n">
        <x:f>SUMIFS('Purchases'!$G$7:$G$352,'Purchases'!$C$7:$C$352,A181)</x:f>
        <x:v>1000</x:v>
      </x:c>
      <x:c r="D181" s="11" t="n">
        <x:f>SUMIFS('Purchases'!$I$7:$I$352,'Purchases'!$C$7:$C$352,A181)</x:f>
        <x:v>0</x:v>
      </x:c>
      <x:c r="E181" s="9" t="n">
        <x:f>D181/'Summary'!$C$10</x:f>
        <x:v>0</x:v>
      </x:c>
      <x:c r="F181" s="2" t="str">
        <x:v>written off ($0 rule)</x:v>
      </x:c>
      <x:c r="G181" s="8" t="d">
        <x:v>2015-06-11T00:00:00.000Z</x:v>
      </x:c>
    </x:row>
    <x:row r="182" ht="22" customHeight="1">
      <x:c r="A182" s="2" t="str">
        <x:v>JNS-201705</x:v>
      </x:c>
      <x:c r="B182" s="2" t="n">
        <x:f>COUNTIFS('Purchases'!$C$7:$C$352,A182)</x:f>
        <x:v>1</x:v>
      </x:c>
      <x:c r="C182" s="11" t="n">
        <x:f>SUMIFS('Purchases'!$G$7:$G$352,'Purchases'!$C$7:$C$352,A182)</x:f>
        <x:v>1000</x:v>
      </x:c>
      <x:c r="D182" s="11" t="n">
        <x:f>SUMIFS('Purchases'!$I$7:$I$352,'Purchases'!$C$7:$C$352,A182)</x:f>
        <x:v>0</x:v>
      </x:c>
      <x:c r="E182" s="9" t="n">
        <x:f>D182/'Summary'!$C$10</x:f>
        <x:v>0</x:v>
      </x:c>
      <x:c r="F182" s="2" t="str">
        <x:v>written off ($0 rule)</x:v>
      </x:c>
      <x:c r="G182" s="8" t="d">
        <x:v>2017-05-26T00:00:00.000Z</x:v>
      </x:c>
    </x:row>
    <x:row r="183" ht="22" customHeight="1">
      <x:c r="A183" s="2" t="str">
        <x:v>MDR</x:v>
      </x:c>
      <x:c r="B183" s="2" t="n">
        <x:f>COUNTIFS('Purchases'!$C$7:$C$352,A183)</x:f>
        <x:v>3</x:v>
      </x:c>
      <x:c r="C183" s="11" t="n">
        <x:f>SUMIFS('Purchases'!$G$7:$G$352,'Purchases'!$C$7:$C$352,A183)</x:f>
        <x:v>3000</x:v>
      </x:c>
      <x:c r="D183" s="11" t="n">
        <x:f>SUMIFS('Purchases'!$I$7:$I$352,'Purchases'!$C$7:$C$352,A183)</x:f>
        <x:v>0</x:v>
      </x:c>
      <x:c r="E183" s="9" t="n">
        <x:f>D183/'Summary'!$C$10</x:f>
        <x:v>0</x:v>
      </x:c>
      <x:c r="F183" s="2" t="str">
        <x:v>written off ($0 rule)</x:v>
      </x:c>
      <x:c r="G183" s="8" t="d">
        <x:v>2020-01-22T00:00:00.000Z</x:v>
      </x:c>
    </x:row>
    <x:row r="184" ht="22" customHeight="1">
      <x:c r="A184" s="2" t="str">
        <x:v>MFE-201102</x:v>
      </x:c>
      <x:c r="B184" s="2" t="n">
        <x:f>COUNTIFS('Purchases'!$C$7:$C$352,A184)</x:f>
        <x:v>1</x:v>
      </x:c>
      <x:c r="C184" s="11" t="n">
        <x:f>SUMIFS('Purchases'!$G$7:$G$352,'Purchases'!$C$7:$C$352,A184)</x:f>
        <x:v>1000</x:v>
      </x:c>
      <x:c r="D184" s="11" t="n">
        <x:f>SUMIFS('Purchases'!$I$7:$I$352,'Purchases'!$C$7:$C$352,A184)</x:f>
        <x:v>0</x:v>
      </x:c>
      <x:c r="E184" s="9" t="n">
        <x:f>D184/'Summary'!$C$10</x:f>
        <x:v>0</x:v>
      </x:c>
      <x:c r="F184" s="2" t="str">
        <x:v>written off ($0 rule)</x:v>
      </x:c>
      <x:c r="G184" s="8" t="d">
        <x:v>2011-02-28T00:00:00.000Z</x:v>
      </x:c>
    </x:row>
    <x:row r="185" ht="22" customHeight="1">
      <x:c r="A185" s="2" t="str">
        <x:v>SEE</x:v>
      </x:c>
      <x:c r="B185" s="2" t="n">
        <x:f>COUNTIFS('Purchases'!$C$7:$C$352,A185)</x:f>
        <x:v>1</x:v>
      </x:c>
      <x:c r="C185" s="11" t="n">
        <x:f>SUMIFS('Purchases'!$G$7:$G$352,'Purchases'!$C$7:$C$352,A185)</x:f>
        <x:v>1000</x:v>
      </x:c>
      <x:c r="D185" s="11" t="n">
        <x:f>SUMIFS('Purchases'!$I$7:$I$352,'Purchases'!$C$7:$C$352,A185)</x:f>
        <x:v>0</x:v>
      </x:c>
      <x:c r="E185" s="9" t="n">
        <x:f>D185/'Summary'!$C$10</x:f>
        <x:v>0</x:v>
      </x:c>
      <x:c r="F185" s="2" t="str">
        <x:v>written off ($0 rule)</x:v>
      </x:c>
      <x:c r="G185" s="8" t="d">
        <x:v>2026-04-08T00:00:00.000Z</x:v>
      </x:c>
    </x:row>
    <x:row r="186" ht="22" customHeight="1">
      <x:c r="A186" s="2" t="str">
        <x:v>RAI-201707</x:v>
      </x:c>
      <x:c r="B186" s="2" t="n">
        <x:f>COUNTIFS('Purchases'!$C$7:$C$352,A186)</x:f>
        <x:v>1</x:v>
      </x:c>
      <x:c r="C186" s="11" t="n">
        <x:f>SUMIFS('Purchases'!$G$7:$G$352,'Purchases'!$C$7:$C$352,A186)</x:f>
        <x:v>1000</x:v>
      </x:c>
      <x:c r="D186" s="11" t="n">
        <x:f>SUMIFS('Purchases'!$I$7:$I$352,'Purchases'!$C$7:$C$352,A186)</x:f>
        <x:v>0</x:v>
      </x:c>
      <x:c r="E186" s="9" t="n">
        <x:f>D186/'Summary'!$C$10</x:f>
        <x:v>0</x:v>
      </x:c>
      <x:c r="F186" s="2" t="str">
        <x:v>written off ($0 rule)</x:v>
      </x:c>
      <x:c r="G186" s="8" t="d">
        <x:v>2017-07-24T00:00:00.000Z</x:v>
      </x:c>
    </x:row>
    <x:row r="187" ht="22" customHeight="1">
      <x:c r="A187" s="2" t="str">
        <x:v>POM-201603</x:v>
      </x:c>
      <x:c r="B187" s="2" t="n">
        <x:f>COUNTIFS('Purchases'!$C$7:$C$352,A187)</x:f>
        <x:v>1</x:v>
      </x:c>
      <x:c r="C187" s="11" t="n">
        <x:f>SUMIFS('Purchases'!$G$7:$G$352,'Purchases'!$C$7:$C$352,A187)</x:f>
        <x:v>1000</x:v>
      </x:c>
      <x:c r="D187" s="11" t="n">
        <x:f>SUMIFS('Purchases'!$I$7:$I$352,'Purchases'!$C$7:$C$352,A187)</x:f>
        <x:v>0</x:v>
      </x:c>
      <x:c r="E187" s="9" t="n">
        <x:f>D187/'Summary'!$C$10</x:f>
        <x:v>0</x:v>
      </x:c>
      <x:c r="F187" s="2" t="str">
        <x:v>written off ($0 rule)</x:v>
      </x:c>
      <x:c r="G187" s="8" t="d">
        <x:v>2016-03-23T00:00:00.000Z</x:v>
      </x:c>
    </x:row>
    <x:row r="188" ht="22" customHeight="1">
      <x:c r="A188" s="2" t="str">
        <x:v>PBY-201602</x:v>
      </x:c>
      <x:c r="B188" s="2" t="n">
        <x:f>COUNTIFS('Purchases'!$C$7:$C$352,A188)</x:f>
        <x:v>1</x:v>
      </x:c>
      <x:c r="C188" s="11" t="n">
        <x:f>SUMIFS('Purchases'!$G$7:$G$352,'Purchases'!$C$7:$C$352,A188)</x:f>
        <x:v>1000</x:v>
      </x:c>
      <x:c r="D188" s="11" t="n">
        <x:f>SUMIFS('Purchases'!$I$7:$I$352,'Purchases'!$C$7:$C$352,A188)</x:f>
        <x:v>0</x:v>
      </x:c>
      <x:c r="E188" s="9" t="n">
        <x:f>D188/'Summary'!$C$10</x:f>
        <x:v>0</x:v>
      </x:c>
      <x:c r="F188" s="2" t="str">
        <x:v>written off ($0 rule)</x:v>
      </x:c>
      <x:c r="G188" s="8" t="d">
        <x:v>2016-02-03T00:00:00.000Z</x:v>
      </x:c>
    </x:row>
    <x:row r="189" ht="22" customHeight="1">
      <x:c r="A189" s="2" t="str">
        <x:v>PMCS-201601</x:v>
      </x:c>
      <x:c r="B189" s="2" t="n">
        <x:f>COUNTIFS('Purchases'!$C$7:$C$352,A189)</x:f>
        <x:v>1</x:v>
      </x:c>
      <x:c r="C189" s="11" t="n">
        <x:f>SUMIFS('Purchases'!$G$7:$G$352,'Purchases'!$C$7:$C$352,A189)</x:f>
        <x:v>1000</x:v>
      </x:c>
      <x:c r="D189" s="11" t="n">
        <x:f>SUMIFS('Purchases'!$I$7:$I$352,'Purchases'!$C$7:$C$352,A189)</x:f>
        <x:v>0</x:v>
      </x:c>
      <x:c r="E189" s="9" t="n">
        <x:f>D189/'Summary'!$C$10</x:f>
        <x:v>0</x:v>
      </x:c>
      <x:c r="F189" s="2" t="str">
        <x:v>written off ($0 rule)</x:v>
      </x:c>
      <x:c r="G189" s="8" t="d">
        <x:v>2016-01-14T00:00:00.000Z</x:v>
      </x:c>
    </x:row>
    <x:row r="190" ht="22" customHeight="1">
      <x:c r="A190" s="2" t="str">
        <x:v>RHT</x:v>
      </x:c>
      <x:c r="B190" s="2" t="n">
        <x:f>COUNTIFS('Purchases'!$C$7:$C$352,A190)</x:f>
        <x:v>3</x:v>
      </x:c>
      <x:c r="C190" s="11" t="n">
        <x:f>SUMIFS('Purchases'!$G$7:$G$352,'Purchases'!$C$7:$C$352,A190)</x:f>
        <x:v>3000</x:v>
      </x:c>
      <x:c r="D190" s="11" t="n">
        <x:f>SUMIFS('Purchases'!$I$7:$I$352,'Purchases'!$C$7:$C$352,A190)</x:f>
        <x:v>0</x:v>
      </x:c>
      <x:c r="E190" s="9" t="n">
        <x:f>D190/'Summary'!$C$10</x:f>
        <x:v>0</x:v>
      </x:c>
      <x:c r="F190" s="2" t="str">
        <x:v>written off ($0 rule)</x:v>
      </x:c>
      <x:c r="G190" s="8" t="d">
        <x:v>2019-07-08T00:00:00.000Z</x:v>
      </x:c>
    </x:row>
    <x:row r="191" ht="22" customHeight="1">
      <x:c r="A191" s="2" t="str">
        <x:v>QLGC-201608</x:v>
      </x:c>
      <x:c r="B191" s="2" t="n">
        <x:f>COUNTIFS('Purchases'!$C$7:$C$352,A191)</x:f>
        <x:v>2</x:v>
      </x:c>
      <x:c r="C191" s="11" t="n">
        <x:f>SUMIFS('Purchases'!$G$7:$G$352,'Purchases'!$C$7:$C$352,A191)</x:f>
        <x:v>2000</x:v>
      </x:c>
      <x:c r="D191" s="11" t="n">
        <x:f>SUMIFS('Purchases'!$I$7:$I$352,'Purchases'!$C$7:$C$352,A191)</x:f>
        <x:v>0</x:v>
      </x:c>
      <x:c r="E191" s="9" t="n">
        <x:f>D191/'Summary'!$C$10</x:f>
        <x:v>0</x:v>
      </x:c>
      <x:c r="F191" s="2" t="str">
        <x:v>written off ($0 rule)</x:v>
      </x:c>
      <x:c r="G191" s="8" t="d">
        <x:v>2016-08-15T00:00:00.000Z</x:v>
      </x:c>
    </x:row>
    <x:row r="192" ht="22" customHeight="1">
      <x:c r="A192" s="2" t="str">
        <x:v>ROH-200904</x:v>
      </x:c>
      <x:c r="B192" s="2" t="n">
        <x:f>COUNTIFS('Purchases'!$C$7:$C$352,A192)</x:f>
        <x:v>1</x:v>
      </x:c>
      <x:c r="C192" s="11" t="n">
        <x:f>SUMIFS('Purchases'!$G$7:$G$352,'Purchases'!$C$7:$C$352,A192)</x:f>
        <x:v>1000</x:v>
      </x:c>
      <x:c r="D192" s="11" t="n">
        <x:f>SUMIFS('Purchases'!$I$7:$I$352,'Purchases'!$C$7:$C$352,A192)</x:f>
        <x:v>0</x:v>
      </x:c>
      <x:c r="E192" s="9" t="n">
        <x:f>D192/'Summary'!$C$10</x:f>
        <x:v>0</x:v>
      </x:c>
      <x:c r="F192" s="2" t="str">
        <x:v>written off ($0 rule)</x:v>
      </x:c>
      <x:c r="G192" s="8" t="d">
        <x:v>2009-04-01T00:00:00.000Z</x:v>
      </x:c>
    </x:row>
    <x:row r="193" ht="22" customHeight="1">
      <x:c r="A193" s="2" t="str">
        <x:v>SIAL-201511</x:v>
      </x:c>
      <x:c r="B193" s="2" t="n">
        <x:f>COUNTIFS('Purchases'!$C$7:$C$352,A193)</x:f>
        <x:v>1</x:v>
      </x:c>
      <x:c r="C193" s="11" t="n">
        <x:f>SUMIFS('Purchases'!$G$7:$G$352,'Purchases'!$C$7:$C$352,A193)</x:f>
        <x:v>1000</x:v>
      </x:c>
      <x:c r="D193" s="11" t="n">
        <x:f>SUMIFS('Purchases'!$I$7:$I$352,'Purchases'!$C$7:$C$352,A193)</x:f>
        <x:v>0</x:v>
      </x:c>
      <x:c r="E193" s="9" t="n">
        <x:f>D193/'Summary'!$C$10</x:f>
        <x:v>0</x:v>
      </x:c>
      <x:c r="F193" s="2" t="str">
        <x:v>written off ($0 rule)</x:v>
      </x:c>
      <x:c r="G193" s="8" t="d">
        <x:v>2015-11-17T00:00:00.000Z</x:v>
      </x:c>
    </x:row>
    <x:row r="194" ht="22" customHeight="1">
      <x:c r="A194" s="2" t="str">
        <x:v>SWN</x:v>
      </x:c>
      <x:c r="B194" s="2" t="n">
        <x:f>COUNTIFS('Purchases'!$C$7:$C$352,A194)</x:f>
        <x:v>1</x:v>
      </x:c>
      <x:c r="C194" s="11" t="n">
        <x:f>SUMIFS('Purchases'!$G$7:$G$352,'Purchases'!$C$7:$C$352,A194)</x:f>
        <x:v>1000</x:v>
      </x:c>
      <x:c r="D194" s="11" t="n">
        <x:f>SUMIFS('Purchases'!$I$7:$I$352,'Purchases'!$C$7:$C$352,A194)</x:f>
        <x:v>0</x:v>
      </x:c>
      <x:c r="E194" s="9" t="n">
        <x:f>D194/'Summary'!$C$10</x:f>
        <x:v>0</x:v>
      </x:c>
      <x:c r="F194" s="2" t="str">
        <x:v>written off ($0 rule)</x:v>
      </x:c>
      <x:c r="G194" s="8" t="d">
        <x:v>2024-09-30T00:00:00.000Z</x:v>
      </x:c>
    </x:row>
    <x:row r="195" ht="22" customHeight="1">
      <x:c r="A195" s="2" t="str">
        <x:v>SPLS-201709</x:v>
      </x:c>
      <x:c r="B195" s="2" t="n">
        <x:f>COUNTIFS('Purchases'!$C$7:$C$352,A195)</x:f>
        <x:v>1</x:v>
      </x:c>
      <x:c r="C195" s="11" t="n">
        <x:f>SUMIFS('Purchases'!$G$7:$G$352,'Purchases'!$C$7:$C$352,A195)</x:f>
        <x:v>1000</x:v>
      </x:c>
      <x:c r="D195" s="11" t="n">
        <x:f>SUMIFS('Purchases'!$I$7:$I$352,'Purchases'!$C$7:$C$352,A195)</x:f>
        <x:v>0</x:v>
      </x:c>
      <x:c r="E195" s="9" t="n">
        <x:f>D195/'Summary'!$C$10</x:f>
        <x:v>0</x:v>
      </x:c>
      <x:c r="F195" s="2" t="str">
        <x:v>written off ($0 rule)</x:v>
      </x:c>
      <x:c r="G195" s="8" t="d">
        <x:v>2017-09-12T00:00:00.000Z</x:v>
      </x:c>
    </x:row>
    <x:row r="196" ht="22" customHeight="1">
      <x:c r="A196" s="2" t="str">
        <x:v>SNDK-201605</x:v>
      </x:c>
      <x:c r="B196" s="2" t="n">
        <x:f>COUNTIFS('Purchases'!$C$7:$C$352,A196)</x:f>
        <x:v>2</x:v>
      </x:c>
      <x:c r="C196" s="11" t="n">
        <x:f>SUMIFS('Purchases'!$G$7:$G$352,'Purchases'!$C$7:$C$352,A196)</x:f>
        <x:v>2000</x:v>
      </x:c>
      <x:c r="D196" s="11" t="n">
        <x:f>SUMIFS('Purchases'!$I$7:$I$352,'Purchases'!$C$7:$C$352,A196)</x:f>
        <x:v>0</x:v>
      </x:c>
      <x:c r="E196" s="9" t="n">
        <x:f>D196/'Summary'!$C$10</x:f>
        <x:v>0</x:v>
      </x:c>
      <x:c r="F196" s="2" t="str">
        <x:v>written off ($0 rule)</x:v>
      </x:c>
      <x:c r="G196" s="8" t="d">
        <x:v>2016-05-11T00:00:00.000Z</x:v>
      </x:c>
    </x:row>
    <x:row r="197" ht="22" customHeight="1">
      <x:c r="A197" s="2" t="str">
        <x:v>RTN</x:v>
      </x:c>
      <x:c r="B197" s="2" t="n">
        <x:f>COUNTIFS('Purchases'!$C$7:$C$352,A197)</x:f>
        <x:v>1</x:v>
      </x:c>
      <x:c r="C197" s="11" t="n">
        <x:f>SUMIFS('Purchases'!$G$7:$G$352,'Purchases'!$C$7:$C$352,A197)</x:f>
        <x:v>1000</x:v>
      </x:c>
      <x:c r="D197" s="11" t="n">
        <x:f>SUMIFS('Purchases'!$I$7:$I$352,'Purchases'!$C$7:$C$352,A197)</x:f>
        <x:v>0</x:v>
      </x:c>
      <x:c r="E197" s="9" t="n">
        <x:f>D197/'Summary'!$C$10</x:f>
        <x:v>0</x:v>
      </x:c>
      <x:c r="F197" s="2" t="str">
        <x:v>written off ($0 rule)</x:v>
      </x:c>
      <x:c r="G197" s="8" t="d">
        <x:v>2020-04-02T00:00:00.000Z</x:v>
      </x:c>
    </x:row>
    <x:row r="198" ht="22" customHeight="1">
      <x:c r="A198" s="2" t="str">
        <x:v>SAPE-201502</x:v>
      </x:c>
      <x:c r="B198" s="2" t="n">
        <x:f>COUNTIFS('Purchases'!$C$7:$C$352,A198)</x:f>
        <x:v>1</x:v>
      </x:c>
      <x:c r="C198" s="11" t="n">
        <x:f>SUMIFS('Purchases'!$G$7:$G$352,'Purchases'!$C$7:$C$352,A198)</x:f>
        <x:v>1000</x:v>
      </x:c>
      <x:c r="D198" s="11" t="n">
        <x:f>SUMIFS('Purchases'!$I$7:$I$352,'Purchases'!$C$7:$C$352,A198)</x:f>
        <x:v>0</x:v>
      </x:c>
      <x:c r="E198" s="9" t="n">
        <x:f>D198/'Summary'!$C$10</x:f>
        <x:v>0</x:v>
      </x:c>
      <x:c r="F198" s="2" t="str">
        <x:v>written off ($0 rule)</x:v>
      </x:c>
      <x:c r="G198" s="8" t="d">
        <x:v>2015-02-05T00:00:00.000Z</x:v>
      </x:c>
    </x:row>
    <x:row r="199" ht="22" customHeight="1">
      <x:c r="A199" s="2" t="str">
        <x:v>S-202004</x:v>
      </x:c>
      <x:c r="B199" s="2" t="n">
        <x:f>COUNTIFS('Purchases'!$C$7:$C$352,A199)</x:f>
        <x:v>1</x:v>
      </x:c>
      <x:c r="C199" s="11" t="n">
        <x:f>SUMIFS('Purchases'!$G$7:$G$352,'Purchases'!$C$7:$C$352,A199)</x:f>
        <x:v>1000</x:v>
      </x:c>
      <x:c r="D199" s="11" t="n">
        <x:f>SUMIFS('Purchases'!$I$7:$I$352,'Purchases'!$C$7:$C$352,A199)</x:f>
        <x:v>0</x:v>
      </x:c>
      <x:c r="E199" s="9" t="n">
        <x:f>D199/'Summary'!$C$10</x:f>
        <x:v>0</x:v>
      </x:c>
      <x:c r="F199" s="2" t="str">
        <x:v>written off ($0 rule)</x:v>
      </x:c>
      <x:c r="G199" s="8" t="d">
        <x:v>2020-03-31T00:00:00.000Z</x:v>
      </x:c>
    </x:row>
    <x:row r="200" ht="22" customHeight="1">
      <x:c r="A200" s="2" t="str">
        <x:v>TGNA</x:v>
      </x:c>
      <x:c r="B200" s="2" t="n">
        <x:f>COUNTIFS('Purchases'!$C$7:$C$352,A200)</x:f>
        <x:v>4</x:v>
      </x:c>
      <x:c r="C200" s="11" t="n">
        <x:f>SUMIFS('Purchases'!$G$7:$G$352,'Purchases'!$C$7:$C$352,A200)</x:f>
        <x:v>4000</x:v>
      </x:c>
      <x:c r="D200" s="11" t="n">
        <x:f>SUMIFS('Purchases'!$I$7:$I$352,'Purchases'!$C$7:$C$352,A200)</x:f>
        <x:v>0</x:v>
      </x:c>
      <x:c r="E200" s="9" t="n">
        <x:f>D200/'Summary'!$C$10</x:f>
        <x:v>0</x:v>
      </x:c>
      <x:c r="F200" s="2" t="str">
        <x:v>written off ($0 rule)</x:v>
      </x:c>
      <x:c r="G200" s="8" t="d">
        <x:v>2026-03-19T00:00:00.000Z</x:v>
      </x:c>
    </x:row>
    <x:row r="201" ht="22" customHeight="1">
      <x:c r="A201" s="2" t="str">
        <x:v>TIE-201301</x:v>
      </x:c>
      <x:c r="B201" s="2" t="n">
        <x:f>COUNTIFS('Purchases'!$C$7:$C$352,A201)</x:f>
        <x:v>1</x:v>
      </x:c>
      <x:c r="C201" s="11" t="n">
        <x:f>SUMIFS('Purchases'!$G$7:$G$352,'Purchases'!$C$7:$C$352,A201)</x:f>
        <x:v>1000</x:v>
      </x:c>
      <x:c r="D201" s="11" t="n">
        <x:f>SUMIFS('Purchases'!$I$7:$I$352,'Purchases'!$C$7:$C$352,A201)</x:f>
        <x:v>0</x:v>
      </x:c>
      <x:c r="E201" s="9" t="n">
        <x:f>D201/'Summary'!$C$10</x:f>
        <x:v>0</x:v>
      </x:c>
      <x:c r="F201" s="2" t="str">
        <x:v>written off ($0 rule)</x:v>
      </x:c>
      <x:c r="G201" s="8" t="d">
        <x:v>2013-01-07T00:00:00.000Z</x:v>
      </x:c>
    </x:row>
    <x:row r="202" ht="22" customHeight="1">
      <x:c r="A202" s="2" t="str">
        <x:v>TWX-201806</x:v>
      </x:c>
      <x:c r="B202" s="2" t="n">
        <x:f>COUNTIFS('Purchases'!$C$7:$C$352,A202)</x:f>
        <x:v>2</x:v>
      </x:c>
      <x:c r="C202" s="11" t="n">
        <x:f>SUMIFS('Purchases'!$G$7:$G$352,'Purchases'!$C$7:$C$352,A202)</x:f>
        <x:v>2000</x:v>
      </x:c>
      <x:c r="D202" s="11" t="n">
        <x:f>SUMIFS('Purchases'!$I$7:$I$352,'Purchases'!$C$7:$C$352,A202)</x:f>
        <x:v>0</x:v>
      </x:c>
      <x:c r="E202" s="9" t="n">
        <x:f>D202/'Summary'!$C$10</x:f>
        <x:v>0</x:v>
      </x:c>
      <x:c r="F202" s="2" t="str">
        <x:v>written off ($0 rule)</x:v>
      </x:c>
      <x:c r="G202" s="8" t="d">
        <x:v>2018-06-14T00:00:00.000Z</x:v>
      </x:c>
    </x:row>
    <x:row r="203" ht="22" customHeight="1">
      <x:c r="A203" s="2" t="str">
        <x:v>TWTR</x:v>
      </x:c>
      <x:c r="B203" s="2" t="n">
        <x:f>COUNTIFS('Purchases'!$C$7:$C$352,A203)</x:f>
        <x:v>2</x:v>
      </x:c>
      <x:c r="C203" s="11" t="n">
        <x:f>SUMIFS('Purchases'!$G$7:$G$352,'Purchases'!$C$7:$C$352,A203)</x:f>
        <x:v>2000</x:v>
      </x:c>
      <x:c r="D203" s="11" t="n">
        <x:f>SUMIFS('Purchases'!$I$7:$I$352,'Purchases'!$C$7:$C$352,A203)</x:f>
        <x:v>0</x:v>
      </x:c>
      <x:c r="E203" s="9" t="n">
        <x:f>D203/'Summary'!$C$10</x:f>
        <x:v>0</x:v>
      </x:c>
      <x:c r="F203" s="2" t="str">
        <x:v>written off ($0 rule)</x:v>
      </x:c>
      <x:c r="G203" s="8" t="d">
        <x:v>2022-10-27T00:00:00.000Z</x:v>
      </x:c>
    </x:row>
    <x:row r="204" ht="22" customHeight="1">
      <x:c r="A204" s="2" t="str">
        <x:v>TSS</x:v>
      </x:c>
      <x:c r="B204" s="2" t="n">
        <x:f>COUNTIFS('Purchases'!$C$7:$C$352,A204)</x:f>
        <x:v>1</x:v>
      </x:c>
      <x:c r="C204" s="11" t="n">
        <x:f>SUMIFS('Purchases'!$G$7:$G$352,'Purchases'!$C$7:$C$352,A204)</x:f>
        <x:v>1000</x:v>
      </x:c>
      <x:c r="D204" s="11" t="n">
        <x:f>SUMIFS('Purchases'!$I$7:$I$352,'Purchases'!$C$7:$C$352,A204)</x:f>
        <x:v>0</x:v>
      </x:c>
      <x:c r="E204" s="9" t="n">
        <x:f>D204/'Summary'!$C$10</x:f>
        <x:v>0</x:v>
      </x:c>
      <x:c r="F204" s="2" t="str">
        <x:v>written off ($0 rule)</x:v>
      </x:c>
      <x:c r="G204" s="8" t="d">
        <x:v>2019-09-17T00:00:00.000Z</x:v>
      </x:c>
    </x:row>
    <x:row r="205" ht="22" customHeight="1">
      <x:c r="A205" s="2" t="str">
        <x:v>WBD</x:v>
      </x:c>
      <x:c r="B205" s="2" t="n">
        <x:f>COUNTIFS('Purchases'!$C$7:$C$352,A205)</x:f>
        <x:v>4</x:v>
      </x:c>
      <x:c r="C205" s="11" t="n">
        <x:f>SUMIFS('Purchases'!$G$7:$G$352,'Purchases'!$C$7:$C$352,A205)</x:f>
        <x:v>4000</x:v>
      </x:c>
      <x:c r="D205" s="11" t="n">
        <x:f>SUMIFS('Purchases'!$I$7:$I$352,'Purchases'!$C$7:$C$352,A205)</x:f>
        <x:v>0</x:v>
      </x:c>
      <x:c r="E205" s="9" t="n">
        <x:f>D205/'Summary'!$C$10</x:f>
        <x:v>0</x:v>
      </x:c>
      <x:c r="F205" s="2" t="str">
        <x:v>written off ($0 rule)</x:v>
      </x:c>
      <x:c r="G205" s="8" t="d">
        <x:v>2026-10-06T00:00:00.000Z</x:v>
      </x:c>
    </x:row>
    <x:row r="206" ht="22" customHeight="1">
      <x:c r="A206" s="2" t="str">
        <x:v>WFM-201708</x:v>
      </x:c>
      <x:c r="B206" s="2" t="n">
        <x:f>COUNTIFS('Purchases'!$C$7:$C$352,A206)</x:f>
        <x:v>2</x:v>
      </x:c>
      <x:c r="C206" s="11" t="n">
        <x:f>SUMIFS('Purchases'!$G$7:$G$352,'Purchases'!$C$7:$C$352,A206)</x:f>
        <x:v>2000</x:v>
      </x:c>
      <x:c r="D206" s="11" t="n">
        <x:f>SUMIFS('Purchases'!$I$7:$I$352,'Purchases'!$C$7:$C$352,A206)</x:f>
        <x:v>0</x:v>
      </x:c>
      <x:c r="E206" s="9" t="n">
        <x:f>D206/'Summary'!$C$10</x:f>
        <x:v>0</x:v>
      </x:c>
      <x:c r="F206" s="2" t="str">
        <x:v>written off ($0 rule)</x:v>
      </x:c>
      <x:c r="G206" s="8" t="d">
        <x:v>2017-08-25T00:00:00.000Z</x:v>
      </x:c>
    </x:row>
    <x:row r="207" ht="22" customHeight="1">
      <x:c r="A207" s="2" t="str">
        <x:v>WYND</x:v>
      </x:c>
      <x:c r="B207" s="2" t="n">
        <x:f>COUNTIFS('Purchases'!$C$7:$C$352,A207)</x:f>
        <x:v>1</x:v>
      </x:c>
      <x:c r="C207" s="11" t="n">
        <x:f>SUMIFS('Purchases'!$G$7:$G$352,'Purchases'!$C$7:$C$352,A207)</x:f>
        <x:v>1000</x:v>
      </x:c>
      <x:c r="D207" s="11" t="n">
        <x:f>SUMIFS('Purchases'!$I$7:$I$352,'Purchases'!$C$7:$C$352,A207)</x:f>
        <x:v>0</x:v>
      </x:c>
      <x:c r="E207" s="9" t="n">
        <x:f>D207/'Summary'!$C$10</x:f>
        <x:v>0</x:v>
      </x:c>
      <x:c r="F207" s="2" t="str">
        <x:v>written off ($0 rule)</x:v>
      </x:c>
      <x:c r="G207" s="8" t="d">
        <x:v>2026-09-18T00:00:00.000Z</x:v>
      </x:c>
    </x:row>
    <x:row r="208" ht="22" customHeight="1">
      <x:c r="A208" s="2" t="str">
        <x:v>X</x:v>
      </x:c>
      <x:c r="B208" s="2" t="n">
        <x:f>COUNTIFS('Purchases'!$C$7:$C$352,A208)</x:f>
        <x:v>2</x:v>
      </x:c>
      <x:c r="C208" s="11" t="n">
        <x:f>SUMIFS('Purchases'!$G$7:$G$352,'Purchases'!$C$7:$C$352,A208)</x:f>
        <x:v>2000</x:v>
      </x:c>
      <x:c r="D208" s="11" t="n">
        <x:f>SUMIFS('Purchases'!$I$7:$I$352,'Purchases'!$C$7:$C$352,A208)</x:f>
        <x:v>0</x:v>
      </x:c>
      <x:c r="E208" s="9" t="n">
        <x:f>D208/'Summary'!$C$10</x:f>
        <x:v>0</x:v>
      </x:c>
      <x:c r="F208" s="2" t="str">
        <x:v>written off ($0 rule)</x:v>
      </x:c>
      <x:c r="G208" s="8" t="d">
        <x:v>2025-06-17T00:00:00.000Z</x:v>
      </x:c>
    </x:row>
    <x:row r="209" ht="22" customHeight="1">
      <x:c r="A209" s="2" t="str">
        <x:v>XL-201809</x:v>
      </x:c>
      <x:c r="B209" s="2" t="n">
        <x:f>COUNTIFS('Purchases'!$C$7:$C$352,A209)</x:f>
        <x:v>1</x:v>
      </x:c>
      <x:c r="C209" s="11" t="n">
        <x:f>SUMIFS('Purchases'!$G$7:$G$352,'Purchases'!$C$7:$C$352,A209)</x:f>
        <x:v>1000</x:v>
      </x:c>
      <x:c r="D209" s="11" t="n">
        <x:f>SUMIFS('Purchases'!$I$7:$I$352,'Purchases'!$C$7:$C$352,A209)</x:f>
        <x:v>0</x:v>
      </x:c>
      <x:c r="E209" s="9" t="n">
        <x:f>D209/'Summary'!$C$10</x:f>
        <x:v>0</x:v>
      </x:c>
      <x:c r="F209" s="2" t="str">
        <x:v>written off ($0 rule)</x:v>
      </x:c>
      <x:c r="G209" s="8" t="d">
        <x:v>2018-09-11T00:00:00.000Z</x:v>
      </x:c>
    </x:row>
  </x:sheetData>
  <x:pageMargins left="0.7" right="0.7" top="0.75" bottom="0.75" header="0.3" footer="0.3"/>
  <x:tableParts count="1">
    <x:tablePart xmlns:r="http://schemas.openxmlformats.org/officeDocument/2006/relationships" r:id="Ra338b2ce65444375"/>
  </x:tableParts>
</x:worksheet>
</file>

<file path=xl/worksheets/sheet5.xml><?xml version="1.0" encoding="utf-8"?>
<x:worksheet xmlns:x="http://schemas.openxmlformats.org/spreadsheetml/2006/main">
  <x:sheetViews>
    <x:sheetView showGridLines="0" workbookViewId="0"/>
  </x:sheetViews>
  <x:sheetFormatPr defaultRowHeight="15"/>
  <x:cols>
    <x:col min="1" max="1" width="85" hidden="0" customWidth="1"/>
    <x:col min="2" max="2" width="25" hidden="0" customWidth="1"/>
    <x:col min="3" max="3" width="25" hidden="0" customWidth="1"/>
    <x:col min="4" max="4" width="25" hidden="0" customWidth="1"/>
  </x:cols>
  <x:sheetData>
    <x:row r="1" ht="22" customHeight="1">
      <x:c r="A1" s="2"/>
      <x:c r="B1" s="2"/>
      <x:c r="C1" s="2"/>
      <x:c r="D1" s="2"/>
    </x:row>
    <x:row r="2" ht="22" customHeight="1">
      <x:c r="A2" s="3" t="str">
        <x:v>Sensitivity to missing ranking history</x:v>
      </x:c>
      <x:c r="B2" s="2"/>
      <x:c r="C2" s="2"/>
      <x:c r="D2" s="2"/>
    </x:row>
    <x:row r="3" ht="22" customHeight="1">
      <x:c r="A3" s="4"/>
      <x:c r="B3" s="4"/>
      <x:c r="C3" s="4"/>
      <x:c r="D3" s="4"/>
    </x:row>
    <x:row r="4" ht="22" customHeight="1">
      <x:c r="A4" s="2"/>
      <x:c r="B4" s="2"/>
      <x:c r="C4" s="2"/>
      <x:c r="D4" s="2"/>
    </x:row>
    <x:row r="5" ht="22" customHeight="1">
      <x:c r="A5" s="2" t="str">
        <x:v>The second row deliberately writes off every unverifiable monthly selection. It is a stress test, not a lower bound.</x:v>
      </x:c>
      <x:c r="B5" s="2"/>
      <x:c r="C5" s="2"/>
      <x:c r="D5" s="2"/>
    </x:row>
    <x:row r="6" ht="22" customHeight="1">
      <x:c r="A6" s="2"/>
      <x:c r="B6" s="2"/>
      <x:c r="C6" s="2"/>
      <x:c r="D6" s="2"/>
    </x:row>
    <x:row r="7" ht="30" customHeight="1">
      <x:c r="A7" s="7" t="str">
        <x:v>Scenario</x:v>
      </x:c>
      <x:c r="B7" s="7" t="str">
        <x:v>Strategy ending value</x:v>
      </x:c>
      <x:c r="C7" s="7" t="str">
        <x:v>SPY ending value</x:v>
      </x:c>
      <x:c r="D7" s="7" t="str">
        <x:v>Total contributed</x:v>
      </x:c>
    </x:row>
    <x:row r="8" ht="22" customHeight="1">
      <x:c r="A8" s="2" t="str">
        <x:v>Final: ended histories $0; observed leaders</x:v>
      </x:c>
      <x:c r="B8" s="11" t="n">
        <x:f>8204466.908644404/1000*'Summary'!$C$18</x:f>
        <x:v>8204466.908644404</x:v>
      </x:c>
      <x:c r="C8" s="11" t="n">
        <x:f>2258566.729665301/1000*'Summary'!$C$18</x:f>
        <x:v>2258566.729665301</x:v>
      </x:c>
      <x:c r="D8" s="11" t="n">
        <x:f>346000/1000*'Summary'!$C$18</x:f>
        <x:v>346000</x:v>
      </x:c>
    </x:row>
    <x:row r="9" ht="22" customHeight="1">
      <x:c r="A9" s="2" t="str">
        <x:v>Sensitivity: incomplete-ranking monthly deposit also $0</x:v>
      </x:c>
      <x:c r="B9" s="11" t="n">
        <x:f>419574.4628997245/1000*'Summary'!$C$18</x:f>
        <x:v>419574.4628997245</x:v>
      </x:c>
      <x:c r="C9" s="11" t="n">
        <x:f>2258566.729665301/1000*'Summary'!$C$18</x:f>
        <x:v>2258566.729665301</x:v>
      </x:c>
      <x:c r="D9" s="11" t="n">
        <x:f>346000/1000*'Summary'!$C$18</x:f>
        <x:v>346000</x:v>
      </x:c>
    </x:row>
    <x:row r="10" ht="22" customHeight="1">
      <x:c r="A10" s="2" t="str">
        <x:v>Matched complete-ranking months only (different contribution schedule)</x:v>
      </x:c>
      <x:c r="B10" s="11" t="n">
        <x:f>419574.4628997245/1000*'Summary'!$C$18</x:f>
        <x:v>419574.4628997245</x:v>
      </x:c>
      <x:c r="C10" s="11" t="n">
        <x:f>258582.3868707244/1000*'Summary'!$C$18</x:f>
        <x:v>258582.3868707244</x:v>
      </x:c>
      <x:c r="D10" s="11" t="n">
        <x:f>111000/1000*'Summary'!$C$18</x:f>
        <x:v>111000</x:v>
      </x:c>
    </x:row>
    <x:row r="11" ht="22" customHeight="1">
      <x:c r="A11" s="2"/>
      <x:c r="B11" s="2"/>
      <x:c r="C11" s="2"/>
      <x:c r="D11" s="2"/>
    </x:row>
    <x:row r="12" ht="22" customHeight="1">
      <x:c r="A12" s="2" t="str">
        <x:v>Row 3 uses only 111 complete-ranking months, so both portfolios receive fewer deposits. Compare within that row.</x:v>
      </x:c>
      <x:c r="B12" s="2"/>
      <x:c r="C12" s="2"/>
      <x:c r="D12" s="2"/>
    </x:row>
    <x:row r="13" ht="22" customHeight="1">
      <x:c r="A13" s="2"/>
      <x:c r="B13" s="2"/>
      <x:c r="C13" s="2"/>
      <x:c r="D13" s="2"/>
    </x:row>
    <x:row r="14" ht="22" customHeight="1">
      <x:c r="A14" s="2"/>
      <x:c r="B14" s="2"/>
      <x:c r="C14" s="2"/>
      <x:c r="D14" s="2"/>
    </x:row>
    <x:row r="15" ht="22" customHeight="1">
      <x:c r="A15" s="2"/>
      <x:c r="B15" s="2"/>
      <x:c r="C15" s="2"/>
      <x:c r="D15" s="2"/>
    </x:row>
  </x:sheetData>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31" hidden="0" customWidth="1"/>
    <x:col min="2" max="2" width="108" hidden="0" customWidth="1"/>
  </x:cols>
  <x:sheetData>
    <x:row r="1" ht="22" customHeight="1">
      <x:c r="A1" s="2"/>
      <x:c r="B1" s="2"/>
      <x:c r="C1" s="2"/>
    </x:row>
    <x:row r="2" ht="22" customHeight="1">
      <x:c r="A2" s="3" t="str">
        <x:v>Method, data sources and limits</x:v>
      </x:c>
      <x:c r="B2" s="2"/>
      <x:c r="C2" s="2"/>
    </x:row>
    <x:row r="3" ht="22" customHeight="1">
      <x:c r="A3" s="4"/>
      <x:c r="B3" s="4"/>
      <x:c r="C3" s="4"/>
    </x:row>
    <x:row r="4" ht="22" customHeight="1">
      <x:c r="A4" s="2"/>
      <x:c r="B4" s="2"/>
      <x:c r="C4" s="2"/>
    </x:row>
    <x:row r="5" ht="22" customHeight="1">
      <x:c r="A5" s="2"/>
      <x:c r="B5" s="2"/>
      <x:c r="C5" s="2"/>
    </x:row>
    <x:row r="6" ht="15" hidden="0" customHeight="1">
      <x:c r="A6" s="24" t="str">
        <x:v>Interpretation</x:v>
      </x:c>
      <x:c r="B6" s="25" t="str">
        <x:v>$1,000 of NEW money every month. No discretionary sales. Historical S&amp;P 500 member pool. January 1998 through October 9, 2026.</x:v>
      </x:c>
      <x:c r="C6" s="2"/>
    </x:row>
    <x:row r="7" ht="24" hidden="0" customHeight="1">
      <x:c r="A7" s="24" t="str">
        <x:v>Ranking</x:v>
      </x:c>
      <x:c r="B7" s="25" t="str">
        <x:v>Prior calendar-month total return. Membership on the prior month’s last trading day. Stocks need prices at both month-end endpoints. Missing stocks are omitted, so the true winner may differ.</x:v>
      </x:c>
      <x:c r="C7" s="2"/>
    </x:row>
    <x:row r="8" ht="24" hidden="0" customHeight="1">
      <x:c r="A8" s="24" t="str">
        <x:v>Purchase timing</x:v>
      </x:c>
      <x:c r="B8" s="25" t="str">
        <x:v>First trading-day open of the next month, after the signal is known. Adjusted open = open × adjusted close / close. No same-month or month-end execution using information not yet known.</x:v>
      </x:c>
      <x:c r="C8" s="2"/>
    </x:row>
    <x:row r="9" ht="24" hidden="0" customHeight="1">
      <x:c r="A9" s="24" t="str">
        <x:v>Holding convention</x:v>
      </x:c>
      <x:c r="B9" s="25" t="str">
        <x:v>Adjusted-price total-return units with fractional shares and reinvested distributions. Stocks stay in the portfolio after leaving the index. Repeated winners receive another $1,000.</x:v>
      </x:c>
      <x:c r="C9" s="2"/>
    </x:row>
    <x:row r="10" ht="15" hidden="0" customHeight="1">
      <x:c r="A10" s="24" t="str">
        <x:v>Benchmark</x:v>
      </x:c>
      <x:c r="B10" s="25" t="str">
        <x:v>SPY total-return history, bought with identical cash amounts on identical dates. This is an investable S&amp;P 500 proxy after embedded fund expenses.</x:v>
      </x:c>
      <x:c r="C10" s="2"/>
    </x:row>
    <x:row r="11" ht="15" hidden="0" customHeight="1">
      <x:c r="A11" s="24" t="str">
        <x:v>Costs</x:v>
      </x:c>
      <x:c r="B11" s="25" t="str">
        <x:v>No personal taxes, commissions or bid/ask slippage. Fractional shares assumed available throughout the period.</x:v>
      </x:c>
      <x:c r="C11" s="2"/>
    </x:row>
    <x:row r="12" ht="24" hidden="0" customHeight="1">
      <x:c r="A12" s="24" t="str">
        <x:v>Early coverage</x:v>
      </x:c>
      <x:c r="B12" s="25" t="str">
        <x:v>Mean ranked-member coverage is 54.1% in 1998, 60.9% in 2000 and 89.6% in 2008. Only 111 of 346 months have complete endpoint-price coverage in this public dataset.</x:v>
      </x:c>
      <x:c r="C12" s="2"/>
    </x:row>
    <x:row r="13" ht="24" hidden="0" customHeight="1">
      <x:c r="A13" s="24" t="str">
        <x:v>Unavailable ending prices</x:v>
      </x:c>
      <x:c r="B13" s="25" t="str">
        <x:v>User rule: a bought security without a quote through October 9, 2026 is worth $0. Its entire $1,000 purchase is lost. This includes acquired companies and inaccessible histories; no merger payout or successor stock is credited. See Holdings and Purchases for every write-off.</x:v>
      </x:c>
      <x:c r="C13" s="2"/>
    </x:row>
    <x:row r="14" ht="24" hidden="0" customHeight="1">
      <x:c r="A14" s="24" t="str">
        <x:v>Corporate actions</x:v>
      </x:c>
      <x:c r="B14" s="25" t="str">
        <x:v>Reinvested distributions follow the adjusted-price convention. Inaccessible successor stocks and acquired-company series are assigned $0 under the user rule. Spin-off returns use the provider convention rather than a separate child-share ledger.</x:v>
      </x:c>
      <x:c r="C14" s="2"/>
    </x:row>
    <x:row r="15" ht="24" hidden="0" customHeight="1">
      <x:c r="A15" s="24" t="str">
        <x:v>Apparent split errors</x:v>
      </x:c>
      <x:c r="B15" s="25" t="str">
        <x:v>Extra split factors were removed when raw prices did not show the mechanical split move and no offsetting adjacent-day event explained it. Four records are documented in split_corrections.csv, including USB and PBG. Monthly winners were reranked after cleaning.</x:v>
      </x:c>
      <x:c r="C15" s="2"/>
    </x:row>
    <x:row r="16" ht="24" hidden="0" customHeight="1">
      <x:c r="A16" s="24" t="str">
        <x:v>Checks performed</x:v>
      </x:c>
      <x:c r="B16" s="25" t="str">
        <x:v>Exact 346 contributions, all signal dates before purchase dates, no duplicate input date/ticker keys, positive price inputs. Lot totals reconcile to aggregate portfolio and SPY totals to within one cent.</x:v>
      </x:c>
      <x:c r="C16" s="2"/>
    </x:row>
    <x:row r="17" ht="24" hidden="0" customHeight="1">
      <x:c r="A17" s="24" t="str">
        <x:v>Price checks</x:v>
      </x:c>
      <x:c r="B17" s="25" t="str">
        <x:v>Direct Yahoo history reproduces raw closes for SPY, Apple, Nvidia and Micron. Their cumulative total-return factors agree within 0.00006%. This checks those series only and does not validate all stocks.</x:v>
      </x:c>
      <x:c r="C17" s="2"/>
    </x:row>
    <x:row r="18" ht="15" hidden="0" customHeight="1">
      <x:c r="A18" s="24" t="str">
        <x:v>Return measure</x:v>
      </x:c>
      <x:c r="B18" s="25" t="str">
        <x:v>Money-weighted annual return uses every dated contribution and terminal marked value. Ending value / total contributions is not a CAGR.</x:v>
      </x:c>
      <x:c r="C18" s="2"/>
    </x:row>
    <x:row r="19" ht="24" hidden="0" customHeight="1">
      <x:c r="A19" s="24" t="str">
        <x:v>Editable contribution</x:v>
      </x:c>
      <x:c r="B19" s="25" t="str">
        <x:v>Changing Summary C18 scales the fixed purchase ledger and valuation paths. Historical picks stay fixed. This workbook does not refresh quotes or rerank stocks when source prices are edited.</x:v>
      </x:c>
      <x:c r="C19" s="2"/>
    </x:row>
    <x:row r="20" ht="24" hidden="0" customHeight="1">
      <x:c r="A20" s="24" t="str">
        <x:v>Remaining limitation</x:v>
      </x:c>
      <x:c r="B20" s="25" t="str">
        <x:v>Unobservable candidate returns are omitted from selection. Writing off purchased unavailable histories does not resolve missing candidate stocks. A complete licensed universe could change picks and outcomes. The requested approximate model is finalized under this explicit fallback.</x:v>
      </x:c>
      <x:c r="C20" s="2"/>
    </x:row>
    <x:row r="21" ht="24" hidden="0" customHeight="1">
      <x:c r="A21" s="24" t="str">
        <x:v>Source: public prices</x:v>
      </x:c>
      <x:c r="B21" s="25" t="str">
        <x:v>https://github.com/Johnbrick123/sp500-data/releases/tag/data — downloaded October 12, 2026. Dates through October 9, 2026. Source hashes and complete calculation inputs are in the reproduction archive.</x:v>
      </x:c>
      <x:c r="C21" s="2"/>
    </x:row>
    <x:row r="22" ht="24" hidden="0" customHeight="1">
      <x:c r="A22" s="24" t="str">
        <x:v>Source: membership</x:v>
      </x:c>
      <x:c r="B22" s="25" t="str">
        <x:v>Public dataset membership_intervals.parquet, reconstructed from https://github.com/fja05680/sp500 and S&amp;P index announcements. This is not an official complete member file.</x:v>
      </x:c>
      <x:c r="C22" s="2"/>
    </x:row>
    <x:row r="23" ht="15" hidden="0" customHeight="1">
      <x:c r="A23" s="24" t="str">
        <x:v>Source: benchmark</x:v>
      </x:c>
      <x:c r="B23" s="25" t="str">
        <x:v>https://www.ssga.com/us/en/intermediary/etfs/state-street-spdr-sp-500-etf-trust-spy and the public price archive.</x:v>
      </x:c>
      <x:c r="C23" s="2"/>
    </x:row>
    <x:row r="24" ht="24" hidden="0" customHeight="1">
      <x:c r="A24" s="24" t="str">
        <x:v>Source: definitive dataset</x:v>
      </x:c>
      <x:c r="B24" s="25" t="str">
        <x:v>https://indexes.morningstar.com/research-data-products/crsp-us-stock-databases — daily/monthly active and inactive security data, permanent IDs and corporate actions.</x:v>
      </x:c>
      <x:c r="C24" s="2"/>
    </x:row>
    <x:row r="25" ht="24" hidden="0" customHeight="1">
      <x:c r="A25" s="24" t="str">
        <x:v>Reproduction</x:v>
      </x:c>
      <x:c r="B25" s="25" t="str">
        <x:v>The ZIP contains Python source, month-end and entry prices, every ranked stock each month, constituent intervals, purchase ledger, coverage, source hashes and quality issues. No extra Python packages are needed beyond the stated bundled analysis libraries.</x:v>
      </x:c>
      <x:c r="C25" s="2"/>
    </x:row>
    <x:row r="26" ht="22" customHeight="1">
      <x:c r="A26" s="2"/>
      <x:c r="B26" s="2"/>
      <x:c r="C26" s="2"/>
    </x:row>
    <x:row r="27" ht="22" customHeight="1">
      <x:c r="A27" s="2"/>
      <x:c r="B27" s="2"/>
      <x:c r="C27" s="2"/>
    </x:row>
    <x:row r="28" ht="22" customHeight="1">
      <x:c r="A28" s="2"/>
      <x:c r="B28" s="2"/>
      <x:c r="C28" s="2"/>
    </x:row>
    <x:row r="29" ht="22" customHeight="1">
      <x:c r="A29" s="2"/>
      <x:c r="B29" s="2"/>
      <x:c r="C29" s="2"/>
    </x:row>
    <x:row r="30" ht="22" customHeight="1">
      <x:c r="A30" s="2"/>
      <x:c r="B30" s="2"/>
      <x:c r="C30" s="2"/>
    </x:row>
    <x:row r="31" ht="22" customHeight="1">
      <x:c r="A31" s="2"/>
      <x:c r="B31" s="2"/>
      <x:c r="C31" s="2"/>
    </x:row>
    <x:row r="32" ht="22" customHeight="1">
      <x:c r="A32" s="2"/>
      <x:c r="B32" s="2"/>
      <x:c r="C32" s="2"/>
    </x:row>
    <x:row r="33" ht="22" customHeight="1">
      <x:c r="A33" s="2"/>
      <x:c r="B33" s="2"/>
      <x:c r="C33" s="2"/>
    </x:row>
    <x:row r="34" ht="22" customHeight="1">
      <x:c r="A34" s="2"/>
      <x:c r="B34" s="2"/>
      <x:c r="C34" s="2"/>
    </x:row>
    <x:row r="35" ht="22" customHeight="1">
      <x:c r="A35" s="2"/>
      <x:c r="B35" s="2"/>
      <x:c r="C35" s="2"/>
    </x:row>
    <x:row r="36" ht="22" customHeight="1">
      <x:c r="A36" s="2"/>
      <x:c r="B36" s="2"/>
      <x:c r="C36" s="2"/>
    </x:row>
    <x:row r="37" ht="22" customHeight="1">
      <x:c r="A37" s="2"/>
      <x:c r="B37" s="2"/>
      <x:c r="C37" s="2"/>
    </x:row>
    <x:row r="38" ht="22" customHeight="1">
      <x:c r="A38" s="2"/>
      <x:c r="B38" s="2"/>
      <x:c r="C38" s="2"/>
    </x:row>
    <x:row r="39" ht="22" customHeight="1">
      <x:c r="A39" s="2"/>
      <x:c r="B39" s="2"/>
      <x:c r="C39" s="2"/>
    </x:row>
  </x:sheetData>
  <x:pageMargins left="0.7" right="0.7" top="0.75" bottom="0.75" header="0.3" footer="0.3"/>
</x:worksheet>
</file>